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comments1.xml" ContentType="application/vnd.openxmlformats-officedocument.spreadsheetml.comments+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drawings/vmlDrawing2.vml" ContentType="application/vnd.openxmlformats-officedocument.vmlDrawing"/>
  <Override PartName="/xl/drawings/vmlDrawing1.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1" firstSheet="0" showHorizontalScroll="true" showSheetTabs="true" showVerticalScroll="true" tabRatio="600" windowHeight="8192" windowWidth="16384" xWindow="0" yWindow="0"/>
  </bookViews>
  <sheets>
    <sheet name="Hoja1" sheetId="1" state="visible" r:id="rId2"/>
    <sheet name="Hoja2" sheetId="2" state="visible" r:id="rId3"/>
  </sheets>
  <definedNames>
    <definedName function="false" hidden="false" name="EJES" vbProcedure="false">['file:///Users/user/Downloads/10. MUSI BOSA CORTE 31 DE DICIEMBRE 2016_INSUMO CONTRALORIA.xls']Hoja2!$B$8:$B$10</definedName>
    <definedName function="false" hidden="false" name="INDICADORAGREGADO" vbProcedure="false">['file:///Users/user/Downloads/10. MUSI BOSA CORTE 31 DE DICIEMBRE 2016_INSUMO CONTRALORIA.xls']Hoja1!$D$81:$D$158</definedName>
    <definedName function="false" hidden="false" name="LOCALIDADES" vbProcedure="false">['file:///Users/user/Downloads/10. MUSI BOSA CORTE 31 DE DICIEMBRE 2016_INSUMO CONTRALORIA.xls']Hoja2!$B$47:$B$66</definedName>
    <definedName function="false" hidden="false" name="TEMASPRIORITARIOS" vbProcedure="false">['file:///Users/user/Downloads/10. MUSI BOSA CORTE 31 DE DICIEMBRE 2016_INSUMO CONTRALORIA.xls']Hoja1!$C$164:$C$173</definedName>
    <definedName function="false" hidden="false" name="TIPOMETA" vbProcedure="false">['file:///Users/user/Downloads/10. MUSI BOSA CORTE 31 DE DICIEMBRE 2016_INSUMO CONTRALORIA.xls']Hoja2!$B$71:$B$72</definedName>
  </definedNames>
  <calcPr iterateCount="100" refMode="A1" iterate="false" iterateDelta="0.0001"/>
</workbook>
</file>

<file path=xl/comments1.xml><?xml version="1.0" encoding="utf-8"?>
<comments xmlns="http://schemas.openxmlformats.org/spreadsheetml/2006/main" xmlns:xdr="http://schemas.openxmlformats.org/drawingml/2006/spreadsheetDrawing">
  <authors>
    <author/>
  </authors>
  <commentList>
    <comment authorId="0" ref="O2">
      <text>
        <r>
          <rPr>
            <rFont val="Tahoma"/>
            <charset val="1"/>
            <family val="2"/>
            <b val="true"/>
            <color rgb="FF000000"/>
            <sz val="9"/>
          </rPr>
          <t xml:space="preserve">Durante los Cuatro años</t>
        </r>
      </text>
    </comment>
    <comment authorId="0" ref="Q56">
      <text>
        <r>
          <rPr>
            <rFont val="Tahoma"/>
            <charset val="1"/>
            <family val="2"/>
            <b val="true"/>
            <color rgb="FF000000"/>
            <sz val="8"/>
          </rPr>
          <t xml:space="preserve">Colossus User:
</t>
        </r>
        <r>
          <rPr>
            <rFont val="Tahoma"/>
            <charset val="1"/>
            <family val="2"/>
            <color rgb="FF000000"/>
            <sz val="8"/>
          </rPr>
          <t xml:space="preserve">Ajustar redaccion</t>
        </r>
      </text>
    </comment>
    <comment authorId="0" ref="AF22">
      <text>
        <r>
          <rPr>
            <rFont val="Tahoma"/>
            <charset val="1"/>
            <family val="2"/>
            <b val="true"/>
            <color rgb="FF000000"/>
            <sz val="9"/>
          </rPr>
          <t xml:space="preserve">Jorge Eduardo Velandia Cristancho:
</t>
        </r>
        <r>
          <rPr>
            <rFont val="Tahoma"/>
            <charset val="1"/>
            <family val="2"/>
            <color rgb="FF000000"/>
            <sz val="9"/>
          </rPr>
          <t xml:space="preserve">El contato se lquido con 11 eventos</t>
        </r>
      </text>
    </comment>
    <comment authorId="0" ref="AF41">
      <text>
        <r>
          <rPr>
            <rFont val="Tahoma"/>
            <charset val="1"/>
            <family val="2"/>
            <b val="true"/>
            <color rgb="FF000000"/>
            <sz val="9"/>
          </rPr>
          <t xml:space="preserve">Jorge Eduardo Velandia Cristancho:
</t>
        </r>
        <r>
          <rPr>
            <rFont val="Tahoma"/>
            <charset val="1"/>
            <family val="2"/>
            <color rgb="FF000000"/>
            <sz val="9"/>
          </rPr>
          <t xml:space="preserve">40 focos</t>
        </r>
      </text>
    </comment>
    <comment authorId="0" ref="AH14">
      <text>
        <r>
          <rPr>
            <rFont val="Tahoma"/>
            <charset val="1"/>
            <family val="2"/>
            <b val="true"/>
            <color rgb="FF000000"/>
            <sz val="9"/>
          </rPr>
          <t xml:space="preserve">Jorge Eduardo Velandia Cristancho:
</t>
        </r>
        <r>
          <rPr>
            <rFont val="Tahoma"/>
            <charset val="1"/>
            <family val="2"/>
            <color rgb="FF000000"/>
            <sz val="9"/>
          </rPr>
          <t xml:space="preserve">proyeccion unidad móvil
</t>
        </r>
      </text>
    </comment>
    <comment authorId="0" ref="AH19">
      <text>
        <r>
          <rPr>
            <rFont val="Tahoma"/>
            <charset val="1"/>
            <family val="2"/>
            <b val="true"/>
            <color rgb="FF000000"/>
            <sz val="9"/>
          </rPr>
          <t xml:space="preserve">Jorge Eduardo Velandia Cristancho:
</t>
        </r>
        <r>
          <rPr>
            <rFont val="Tahoma"/>
            <charset val="1"/>
            <family val="2"/>
            <color rgb="FF000000"/>
            <sz val="9"/>
          </rPr>
          <t xml:space="preserve">dato de la unidad movil y reporte de dra angela
</t>
        </r>
      </text>
    </comment>
    <comment authorId="0" ref="AH20">
      <text>
        <r>
          <rPr>
            <rFont val="Tahoma"/>
            <charset val="1"/>
            <family val="2"/>
            <b val="true"/>
            <color rgb="FF000000"/>
            <sz val="9"/>
          </rPr>
          <t xml:space="preserve">Jorge Eduardo Velandia Cristancho:
</t>
        </r>
        <r>
          <rPr>
            <rFont val="Tahoma"/>
            <charset val="1"/>
            <family val="2"/>
            <color rgb="FF000000"/>
            <sz val="9"/>
          </rPr>
          <t xml:space="preserve"> reporte de dra angela
</t>
        </r>
      </text>
    </comment>
    <comment authorId="0" ref="AH21">
      <text>
        <r>
          <rPr>
            <rFont val="Tahoma"/>
            <charset val="1"/>
            <family val="2"/>
            <b val="true"/>
            <color rgb="FF000000"/>
            <sz val="9"/>
          </rPr>
          <t xml:space="preserve">Jorge Eduardo Velandia Cristancho:
</t>
        </r>
        <r>
          <rPr>
            <rFont val="Tahoma"/>
            <charset val="1"/>
            <family val="2"/>
            <color rgb="FF000000"/>
            <sz val="9"/>
          </rPr>
          <t xml:space="preserve"> reporte de dra angela
</t>
        </r>
      </text>
    </comment>
    <comment authorId="0" ref="AK28">
      <text>
        <r>
          <rPr>
            <rFont val="Tahoma"/>
            <charset val="1"/>
            <family val="2"/>
            <b val="true"/>
            <color rgb="FF000000"/>
            <sz val="9"/>
          </rPr>
          <t xml:space="preserve">Jorge Eduardo Velandia Cristancho:
</t>
        </r>
        <r>
          <rPr>
            <rFont val="Tahoma"/>
            <charset val="1"/>
            <family val="2"/>
            <color rgb="FF000000"/>
            <sz val="9"/>
          </rPr>
          <t xml:space="preserve">Fernando</t>
        </r>
      </text>
    </comment>
    <comment authorId="0" ref="AL19">
      <text>
        <r>
          <rPr>
            <rFont val="Tahoma"/>
            <charset val="1"/>
            <family val="2"/>
            <b val="true"/>
            <color rgb="FF000000"/>
            <sz val="9"/>
          </rPr>
          <t xml:space="preserve">Jorge Eduardo Velandia Cristancho:
</t>
        </r>
        <r>
          <rPr>
            <rFont val="Tahoma"/>
            <charset val="1"/>
            <family val="2"/>
            <color rgb="FF000000"/>
            <sz val="9"/>
          </rPr>
          <t xml:space="preserve">Incluye Unidad Movil y contrato de justicia formal e informal que tiene dos contratos angela martinez y jeanteh espitis reporto 2400</t>
        </r>
      </text>
    </comment>
    <comment authorId="0" ref="AM14">
      <text>
        <r>
          <rPr>
            <rFont val="Tahoma"/>
            <charset val="1"/>
            <family val="2"/>
            <b val="true"/>
            <color rgb="FF000000"/>
            <sz val="9"/>
          </rPr>
          <t xml:space="preserve">Jorge Eduardo Velandia Cristancho:
</t>
        </r>
        <r>
          <rPr>
            <rFont val="Tahoma"/>
            <charset val="1"/>
            <family val="2"/>
            <color rgb="FF000000"/>
            <sz val="9"/>
          </rPr>
          <t xml:space="preserve">proyeccion unidad móvil
</t>
        </r>
      </text>
    </comment>
    <comment authorId="0" ref="AR13">
      <text>
        <r>
          <rPr>
            <rFont val="Tahoma"/>
            <charset val="1"/>
            <family val="2"/>
            <b val="true"/>
            <color rgb="FF000000"/>
            <sz val="9"/>
          </rPr>
          <t xml:space="preserve">Jorge Eduardo Velandia Cristancho:
</t>
        </r>
        <r>
          <rPr>
            <rFont val="Tahoma"/>
            <charset val="1"/>
            <family val="2"/>
            <color rgb="FF000000"/>
            <sz val="9"/>
          </rPr>
          <t xml:space="preserve">500.000</t>
        </r>
      </text>
    </comment>
    <comment authorId="0" ref="AR26">
      <text>
        <r>
          <rPr>
            <rFont val="Tahoma"/>
            <charset val="1"/>
            <family val="2"/>
            <b val="true"/>
            <color rgb="FF000000"/>
            <sz val="9"/>
          </rPr>
          <t xml:space="preserve">Jorge Eduardo Velandia Cristancho:
</t>
        </r>
        <r>
          <rPr>
            <rFont val="Tahoma"/>
            <charset val="1"/>
            <family val="2"/>
            <color rgb="FF000000"/>
            <sz val="9"/>
          </rPr>
          <t xml:space="preserve">Devolucion 3300000</t>
        </r>
      </text>
    </comment>
  </commentList>
</comments>
</file>

<file path=xl/comments2.xml><?xml version="1.0" encoding="utf-8"?>
<comments xmlns="http://schemas.openxmlformats.org/spreadsheetml/2006/main" xmlns:xdr="http://schemas.openxmlformats.org/drawingml/2006/spreadsheetDrawing">
  <authors>
    <author/>
  </authors>
  <commentList>
    <comment authorId="0" ref="P2">
      <text>
        <r>
          <rPr>
            <rFont val="Tahoma"/>
            <charset val="1"/>
            <family val="2"/>
            <b val="true"/>
            <color rgb="FF000000"/>
            <sz val="9"/>
          </rPr>
          <t xml:space="preserve">Durante los Cuatro años</t>
        </r>
      </text>
    </comment>
    <comment authorId="0" ref="R56">
      <text>
        <r>
          <rPr>
            <rFont val="Tahoma"/>
            <charset val="1"/>
            <family val="2"/>
            <b val="true"/>
            <color rgb="FF000000"/>
            <sz val="8"/>
          </rPr>
          <t xml:space="preserve">Colossus User:
</t>
        </r>
        <r>
          <rPr>
            <rFont val="Tahoma"/>
            <charset val="1"/>
            <family val="2"/>
            <color rgb="FF000000"/>
            <sz val="8"/>
          </rPr>
          <t xml:space="preserve">Ajustar redaccion</t>
        </r>
      </text>
    </comment>
    <comment authorId="0" ref="AG22">
      <text>
        <r>
          <rPr>
            <rFont val="Tahoma"/>
            <charset val="1"/>
            <family val="2"/>
            <b val="true"/>
            <color rgb="FF000000"/>
            <sz val="9"/>
          </rPr>
          <t xml:space="preserve">Jorge Eduardo Velandia Cristancho:
</t>
        </r>
        <r>
          <rPr>
            <rFont val="Tahoma"/>
            <charset val="1"/>
            <family val="2"/>
            <color rgb="FF000000"/>
            <sz val="9"/>
          </rPr>
          <t xml:space="preserve">El contato se lquido con 11 eventos</t>
        </r>
      </text>
    </comment>
    <comment authorId="0" ref="AG41">
      <text>
        <r>
          <rPr>
            <rFont val="Tahoma"/>
            <charset val="1"/>
            <family val="2"/>
            <b val="true"/>
            <color rgb="FF000000"/>
            <sz val="9"/>
          </rPr>
          <t xml:space="preserve">Jorge Eduardo Velandia Cristancho:
</t>
        </r>
        <r>
          <rPr>
            <rFont val="Tahoma"/>
            <charset val="1"/>
            <family val="2"/>
            <color rgb="FF000000"/>
            <sz val="9"/>
          </rPr>
          <t xml:space="preserve">40 focos</t>
        </r>
      </text>
    </comment>
    <comment authorId="0" ref="AI14">
      <text>
        <r>
          <rPr>
            <rFont val="Tahoma"/>
            <charset val="1"/>
            <family val="2"/>
            <b val="true"/>
            <color rgb="FF000000"/>
            <sz val="9"/>
          </rPr>
          <t xml:space="preserve">Jorge Eduardo Velandia Cristancho:
</t>
        </r>
        <r>
          <rPr>
            <rFont val="Tahoma"/>
            <charset val="1"/>
            <family val="2"/>
            <color rgb="FF000000"/>
            <sz val="9"/>
          </rPr>
          <t xml:space="preserve">proyeccion unidad móvil
</t>
        </r>
      </text>
    </comment>
    <comment authorId="0" ref="AI19">
      <text>
        <r>
          <rPr>
            <rFont val="Tahoma"/>
            <charset val="1"/>
            <family val="2"/>
            <b val="true"/>
            <color rgb="FF000000"/>
            <sz val="9"/>
          </rPr>
          <t xml:space="preserve">Jorge Eduardo Velandia Cristancho:
</t>
        </r>
        <r>
          <rPr>
            <rFont val="Tahoma"/>
            <charset val="1"/>
            <family val="2"/>
            <color rgb="FF000000"/>
            <sz val="9"/>
          </rPr>
          <t xml:space="preserve">dato de la unidad movil y reporte de dra angela
</t>
        </r>
      </text>
    </comment>
    <comment authorId="0" ref="AI20">
      <text>
        <r>
          <rPr>
            <rFont val="Tahoma"/>
            <charset val="1"/>
            <family val="2"/>
            <b val="true"/>
            <color rgb="FF000000"/>
            <sz val="9"/>
          </rPr>
          <t xml:space="preserve">Jorge Eduardo Velandia Cristancho:
</t>
        </r>
        <r>
          <rPr>
            <rFont val="Tahoma"/>
            <charset val="1"/>
            <family val="2"/>
            <color rgb="FF000000"/>
            <sz val="9"/>
          </rPr>
          <t xml:space="preserve"> reporte de dra angela
</t>
        </r>
      </text>
    </comment>
    <comment authorId="0" ref="AI21">
      <text>
        <r>
          <rPr>
            <rFont val="Tahoma"/>
            <charset val="1"/>
            <family val="2"/>
            <b val="true"/>
            <color rgb="FF000000"/>
            <sz val="9"/>
          </rPr>
          <t xml:space="preserve">Jorge Eduardo Velandia Cristancho:
</t>
        </r>
        <r>
          <rPr>
            <rFont val="Tahoma"/>
            <charset val="1"/>
            <family val="2"/>
            <color rgb="FF000000"/>
            <sz val="9"/>
          </rPr>
          <t xml:space="preserve"> reporte de dra angela
</t>
        </r>
      </text>
    </comment>
    <comment authorId="0" ref="AL28">
      <text>
        <r>
          <rPr>
            <rFont val="Tahoma"/>
            <charset val="1"/>
            <family val="2"/>
            <b val="true"/>
            <color rgb="FF000000"/>
            <sz val="9"/>
          </rPr>
          <t xml:space="preserve">Jorge Eduardo Velandia Cristancho:
</t>
        </r>
        <r>
          <rPr>
            <rFont val="Tahoma"/>
            <charset val="1"/>
            <family val="2"/>
            <color rgb="FF000000"/>
            <sz val="9"/>
          </rPr>
          <t xml:space="preserve">Fernando</t>
        </r>
      </text>
    </comment>
    <comment authorId="0" ref="AM19">
      <text>
        <r>
          <rPr>
            <rFont val="Tahoma"/>
            <charset val="1"/>
            <family val="2"/>
            <b val="true"/>
            <color rgb="FF000000"/>
            <sz val="9"/>
          </rPr>
          <t xml:space="preserve">Jorge Eduardo Velandia Cristancho:
</t>
        </r>
        <r>
          <rPr>
            <rFont val="Tahoma"/>
            <charset val="1"/>
            <family val="2"/>
            <color rgb="FF000000"/>
            <sz val="9"/>
          </rPr>
          <t xml:space="preserve">Incluye Unidad Movil y contrato de justicia formal e informal que tiene dos contratos angela martinez y jeanteh espitis reporto 2400</t>
        </r>
      </text>
    </comment>
    <comment authorId="0" ref="AN14">
      <text>
        <r>
          <rPr>
            <rFont val="Tahoma"/>
            <charset val="1"/>
            <family val="2"/>
            <b val="true"/>
            <color rgb="FF000000"/>
            <sz val="9"/>
          </rPr>
          <t xml:space="preserve">Jorge Eduardo Velandia Cristancho:
</t>
        </r>
        <r>
          <rPr>
            <rFont val="Tahoma"/>
            <charset val="1"/>
            <family val="2"/>
            <color rgb="FF000000"/>
            <sz val="9"/>
          </rPr>
          <t xml:space="preserve">proyeccion unidad móvil
</t>
        </r>
      </text>
    </comment>
    <comment authorId="0" ref="AS13">
      <text>
        <r>
          <rPr>
            <rFont val="Tahoma"/>
            <charset val="1"/>
            <family val="2"/>
            <b val="true"/>
            <color rgb="FF000000"/>
            <sz val="9"/>
          </rPr>
          <t xml:space="preserve">Jorge Eduardo Velandia Cristancho:
</t>
        </r>
        <r>
          <rPr>
            <rFont val="Tahoma"/>
            <charset val="1"/>
            <family val="2"/>
            <color rgb="FF000000"/>
            <sz val="9"/>
          </rPr>
          <t xml:space="preserve">500.000</t>
        </r>
      </text>
    </comment>
    <comment authorId="0" ref="AS26">
      <text>
        <r>
          <rPr>
            <rFont val="Tahoma"/>
            <charset val="1"/>
            <family val="2"/>
            <b val="true"/>
            <color rgb="FF000000"/>
            <sz val="9"/>
          </rPr>
          <t xml:space="preserve">Jorge Eduardo Velandia Cristancho:
</t>
        </r>
        <r>
          <rPr>
            <rFont val="Tahoma"/>
            <charset val="1"/>
            <family val="2"/>
            <color rgb="FF000000"/>
            <sz val="9"/>
          </rPr>
          <t xml:space="preserve">Devolucion 3300000</t>
        </r>
      </text>
    </comment>
  </commentList>
</comments>
</file>

<file path=xl/sharedStrings.xml><?xml version="1.0" encoding="utf-8"?>
<sst xmlns="http://schemas.openxmlformats.org/spreadsheetml/2006/main" count="1631" uniqueCount="362">
  <si>
    <t>IDENTIFICACION DEL PROYECTO</t>
  </si>
  <si>
    <t>INDICADORES DE ESTADO DE LAS METAS</t>
  </si>
  <si>
    <t>ANUALIZACIÓN DE LA META (PROGRAMACION INICIAL)</t>
  </si>
  <si>
    <t> EJECUCIÓN FÍSICA  DE LA META (CONTRATADO)</t>
  </si>
  <si>
    <t>EJECUCIÓN FÍSICA REAL DE LA META</t>
  </si>
  <si>
    <t>EJECUCIÓN FINANCIERA DE LA META (compromisos)</t>
  </si>
  <si>
    <t>EJECUCIÓN FINANCIERA DE LA META (giros)</t>
  </si>
  <si>
    <t>VERIFICACIONES</t>
  </si>
  <si>
    <t>No.</t>
  </si>
  <si>
    <t>LOCALIDAD</t>
  </si>
  <si>
    <t>Código Eje</t>
  </si>
  <si>
    <t>Eje</t>
  </si>
  <si>
    <t>Código Programa</t>
  </si>
  <si>
    <t>Programa</t>
  </si>
  <si>
    <t>Código meta PDL</t>
  </si>
  <si>
    <t>Meta PDL</t>
  </si>
  <si>
    <t>Código Indicador</t>
  </si>
  <si>
    <t>Indicador Uificado</t>
  </si>
  <si>
    <t>No. Proyecto</t>
  </si>
  <si>
    <t>Nombre Proyecto</t>
  </si>
  <si>
    <t>Código meta proyecto</t>
  </si>
  <si>
    <t>Proceso</t>
  </si>
  <si>
    <t>Magnitud</t>
  </si>
  <si>
    <t>Unidad de Medida</t>
  </si>
  <si>
    <t>Descripción</t>
  </si>
  <si>
    <t>Sector (Seleccionar de la Lista)</t>
  </si>
  <si>
    <t>Producto</t>
  </si>
  <si>
    <t>Tipo de Meta</t>
  </si>
  <si>
    <t>Ponderación de la meta de proyecto frente a la meta del Plan</t>
  </si>
  <si>
    <t>Avance Acumulado contratado (Meta de Proyecto) %</t>
  </si>
  <si>
    <t>% AVANCE META PLAN CONSOLIDADO (contratado)</t>
  </si>
  <si>
    <t>Avance Acumulado real (Meta de Proyecto) %</t>
  </si>
  <si>
    <t>% AVANCE META PLAN CONSOLIDADO (ejecución real)</t>
  </si>
  <si>
    <t>Linea Base (PMR)</t>
  </si>
  <si>
    <t>Total</t>
  </si>
  <si>
    <t>Ejecucion fisica ACUMULADA</t>
  </si>
  <si>
    <t>Ejecucion fisica real ACUMULADA</t>
  </si>
  <si>
    <t>Total Compromisos</t>
  </si>
  <si>
    <t>Total Giros</t>
  </si>
  <si>
    <t>2015 (CONTRATADO)</t>
  </si>
  <si>
    <t>2015 (GIRADO)</t>
  </si>
  <si>
    <t>TEMAS PRIORITARIOS (Seleccionar de la lista)</t>
  </si>
  <si>
    <t>Observaciones frente al cumplimiento de metas</t>
  </si>
  <si>
    <t>BOSA</t>
  </si>
  <si>
    <t>EJE_UNO</t>
  </si>
  <si>
    <t>Garantía del desarrollo integral de la primera infancia.</t>
  </si>
  <si>
    <t>Dotar 80 espacios de manera gradual de acuerdo a la necesidad de cada uno de ellos. para la atención integral a la primera infancia teniendo en cuenta condiciones de accesibilidad y seguridad.</t>
  </si>
  <si>
    <t>Equipamientos para la atención a la primera infancia dotados</t>
  </si>
  <si>
    <t>Apoyo al desarrollo integral de la primera infancia</t>
  </si>
  <si>
    <t>Dotar</t>
  </si>
  <si>
    <t>Espacios</t>
  </si>
  <si>
    <t>de manera gradual de acuerdo a la necesidad de cada uno de ellos. para la atención integral a la primera infancia teniendo en cuenta condiciones de accesibilidad y seguridad</t>
  </si>
  <si>
    <t>SUMA</t>
  </si>
  <si>
    <t>PRIMERA INFANCIA Y DOTACIÓN JARDINES</t>
  </si>
  <si>
    <t>Vincular 16.000 personas en actividades de promoción del buen trato y prevención de violencia en niños y niñas de primera infancia (principalmente prevención del abuso sexual).</t>
  </si>
  <si>
    <t>Personas vinculadas a acciones de promoción del buen trato</t>
  </si>
  <si>
    <t>Vincular</t>
  </si>
  <si>
    <t>Personas </t>
  </si>
  <si>
    <t>en actividades de promoción del buen trato y prevención de violencia en niños y niñas de primera infancia (principalmente prevención del abuso sexual)</t>
  </si>
  <si>
    <t>Territorios saludables y red de salud para la vida desde la diversidad.</t>
  </si>
  <si>
    <t>Vincular 10.000 personas en promoción y formación en derechos sexuales y reproductivos y proyecto de vida.</t>
  </si>
  <si>
    <t>Personas vinculadas a acciones de promoción y prevención en salud </t>
  </si>
  <si>
    <t>Acciones de prevención y promoción en salud</t>
  </si>
  <si>
    <t>Personas</t>
  </si>
  <si>
    <t>en promoción y formación en derechos sexuales y reproductivos y proyecto de vida</t>
  </si>
  <si>
    <t>OTRAS INVERSIONES</t>
  </si>
  <si>
    <t>Para la vigencia 2013 se dejaron en procesos en curso. sin embargo. por temas adminsitrativos y concepto tecnic de la secretaria de salud no hubo y no sse pudo avanzar en la meta: Para la vigencia 2016 el contrato no afecta la magnitud de la meta</t>
  </si>
  <si>
    <t>Vincular 5.000 jóvenes en acciones de promoción y eventos tendientes para desestimular el consumo de sustancias psicoactivas con acompañamiento de sus familias.</t>
  </si>
  <si>
    <t>Personas vinculadas a acciones para la prevención del consumo de SPA y otras sustancias</t>
  </si>
  <si>
    <t>jovenes</t>
  </si>
  <si>
    <t>en acciones de promoción y eventos tendientes para desestimular el consumo de sustancias psicoactivas con acompañamiento de sus familias</t>
  </si>
  <si>
    <t>Beneficiar 1.800 personas en situación de discapacidad con la entrega de ayudas técnicas (no pos).</t>
  </si>
  <si>
    <t>Personas benficiadas con ayudas técnicas</t>
  </si>
  <si>
    <t>Beneficiar</t>
  </si>
  <si>
    <t>en situación de discapacidad con la entrega de ayudas técnicas (no pos)</t>
  </si>
  <si>
    <t>Para 2016 133 con 340 ayudas tecnicas. Para 2016 el valor no afecta la magnitud de la meta</t>
  </si>
  <si>
    <t>Vincular 4.000 mujeres en programas de prevención de embarazos no deseados tanto a mujeres en edad fértil como adolescentes.</t>
  </si>
  <si>
    <t>Mujeres </t>
  </si>
  <si>
    <t>en programas de prevención de embarazos no deseados tanto a mujeres en edad fértil como adolescentes</t>
  </si>
  <si>
    <t>Para la vigencia 2013 se dejaron en procesos en curso. sin embargo. por temas adminsitrativos y concepto tecnic de la secretaria de salud no hubo y no sse pudo avanzar en la meta</t>
  </si>
  <si>
    <t>Construcción de saberes. Educación inclusiva, diversa y de calidad para disfrutar y aprender desde la primera infancia.</t>
  </si>
  <si>
    <t>Vincular 300 personas como mínimo con programas de preparación y capacitación para validación de primaria y/o bachillerato.</t>
  </si>
  <si>
    <t>Personas vinculadas a programas de educación para adultos</t>
  </si>
  <si>
    <t>Contribuir con el fortalecimiento de la educación en la localidad</t>
  </si>
  <si>
    <t>como mínimo con programas de preparación y capacitación de primaria y/o bachillerato</t>
  </si>
  <si>
    <t>CONSTANTE</t>
  </si>
  <si>
    <t>Vincular 58.000 niños. niñas. jóvenes y adolescentes vinculados al sistema educativo con salidas pedagógicas extraescolares en el distrito.</t>
  </si>
  <si>
    <t>Estudiantes vinculados a actividades extraescolares</t>
  </si>
  <si>
    <t>Niños. Niñas. Jóvenes Y Adolescentes</t>
  </si>
  <si>
    <t>vinculados al sistema educativo con salidas pedagógicas extraescolares en el distrito</t>
  </si>
  <si>
    <t>Dotar 28 colegios con elementos pedagógicos. orientados a la inclusión social. según las particularidades de cada institución.</t>
  </si>
  <si>
    <t>Planteles educativos dotados</t>
  </si>
  <si>
    <t>Colegios</t>
  </si>
  <si>
    <t>con elementos pedagógicos. orientados a la inclusión social. según las particularidades de cada institución</t>
  </si>
  <si>
    <t>Se realiza adición para la vigencia 2014 (Se dotan 4 colegios)</t>
  </si>
  <si>
    <t>Bogotá Humana con igualdad de oportunidades y equidad de género para las mujeres.</t>
  </si>
  <si>
    <t>Vincular 2.000 personas en actividades para la promoción de acciones contra la violencia de género.</t>
  </si>
  <si>
    <t>Personas vinculadas a procesos de prevención de la violencia y discriminación de género</t>
  </si>
  <si>
    <t>Bosa una localidad que defiende y garantiza los derechos humanos de las mujeres</t>
  </si>
  <si>
    <t>en actividades para la promoción de acciones contra la violencia de género</t>
  </si>
  <si>
    <t>Lucha contra distintos tipos de discriminación y violencias por condición, situación, identidad, diferencia, diversidad o etapa del ciclo vital.</t>
  </si>
  <si>
    <t>Vincular 800 personas en estrategias encaminadas a la prevención del riesgo de delincuencia. drogadicción. la prostitución. vinculación a organizaciones criminales y trata de personas. como actividades complementarias de cada uno de los sectores.</t>
  </si>
  <si>
    <t>Personas vinculadas a la promoción de espacios y/o campañas  para mejorar la convivencia y seguridad ciudadana</t>
  </si>
  <si>
    <t>Por una localidad libre de violencia y discriminación</t>
  </si>
  <si>
    <t>en estrategias encaminadas a la prevención del riesgo de delincuencia. drogadicción. la prostitución. vinculación a organizaciones criminales y trata de personas. como actividades complementarias de cada uno de los sectores</t>
  </si>
  <si>
    <t>Vincular 4.000 personas a redes y rutas de protección y seguridad.</t>
  </si>
  <si>
    <t>a redes y rutas de protección y seguridad</t>
  </si>
  <si>
    <t>CASAS DE JUSTICIA</t>
  </si>
  <si>
    <t>La adquisición de la unidad móvil proyecto 832-836</t>
  </si>
  <si>
    <t>Vincular 4.000 personas en campañas comunicativas y educativas en torno a la problemática de la violencia y discriminación contra la población LGBTI.</t>
  </si>
  <si>
    <t>Personas vinculadas a procesos de reconocimiento de la identidad de género, orientación y diversidad sexual, grupo étnico y etario. </t>
  </si>
  <si>
    <t>en campañas comunicativas y educativas en torno a la problemática de la violencia y discriminación contra la población Lgbti</t>
  </si>
  <si>
    <t>El recurso 2015 corresponde al apoyo a la semana de la igualdad</t>
  </si>
  <si>
    <t>Apoyar 40 iniciativas juveniles para el uso del tiempo libre.</t>
  </si>
  <si>
    <t>Iniciativas juveniles apoyadas</t>
  </si>
  <si>
    <t>Apoyar</t>
  </si>
  <si>
    <t>Iniciativas</t>
  </si>
  <si>
    <t>para el uso del tiempo libre</t>
  </si>
  <si>
    <t>Para la vigencia 2016 las iniciativas estan en ejecucion</t>
  </si>
  <si>
    <t>Vincular 1.600 Personas en acciones de construcción de nuevas masculinidades y ruptura de estereotipos sexistas.</t>
  </si>
  <si>
    <t>en acciones de construcción de nuevas masculinidades y ruptura de estereotipos sexistas</t>
  </si>
  <si>
    <t>Entregar a 8000 adultos mayores en situación de vulnerabilidad bonos tipo subsidio C.</t>
  </si>
  <si>
    <t>Personas con subsidio tipo C  beneficiadas</t>
  </si>
  <si>
    <t>Lucha contra la discriminación y segregación económica hacia el adulto mayor</t>
  </si>
  <si>
    <t>Entregar a</t>
  </si>
  <si>
    <t>Adultos Mayores</t>
  </si>
  <si>
    <t>en situación de vulnerabilidad bonos tipo subsidio C</t>
  </si>
  <si>
    <t>BONOS TIPO C</t>
  </si>
  <si>
    <t>Bogotá, un territorio que defiende, protege y promueve los derechos humanos.</t>
  </si>
  <si>
    <t>Vincular 2.000 personas en estrategias de inclusión social para la justicia formal. informal y comunitaria desde la perspectiva de los Derechos Humanos.</t>
  </si>
  <si>
    <t>Personas vínculadas a acciones de promoción de  rutas de acceso a la justicia formal</t>
  </si>
  <si>
    <t>Inclusión Social para la promoción de los Derechos Humanos y la Justicia Social</t>
  </si>
  <si>
    <t>en estrategias de inclusión social para la justicia formal. no formal y comunitaria. desde la perspectivas de los derechos humanos</t>
  </si>
  <si>
    <t>Beneficiar 1.000 personas a través de Gestión. acompañamiento y fortalecimiento de estrategias de inclusión social para: Justicia formal. informal y comunitaria.</t>
  </si>
  <si>
    <t>Benficiar</t>
  </si>
  <si>
    <t>a través de gestión. acompañamiento y fortalecimiento de estrategias de inclusión social para: justicia formal. informal y comunitaria</t>
  </si>
  <si>
    <t>Vincular 1.000 personas en campañas de resolución alternativa de conflictos.</t>
  </si>
  <si>
    <t>Personas vinculadas a procesos de resolución alternativa de conflictos</t>
  </si>
  <si>
    <t>en campañas de resolución alternativa de conflictos</t>
  </si>
  <si>
    <t>Ejercicio de libertades culturales y deportivas.</t>
  </si>
  <si>
    <t>Realizar 64 eventos culturales. artísticos y patrimoniales.</t>
  </si>
  <si>
    <t>Eventos culturales realizados</t>
  </si>
  <si>
    <t>Cultura. arte y patrimonio. como estrategias para la formación. creación y circulación organizacional</t>
  </si>
  <si>
    <t>Realizar</t>
  </si>
  <si>
    <t>Eventos</t>
  </si>
  <si>
    <t>culturales. artísticos y patrimoniales</t>
  </si>
  <si>
    <t>FORMACIÓN, EVENTOS CULTURALES y CARNAVAL</t>
  </si>
  <si>
    <t>Se realizan 11 eventos y se liquida el contrato por muto acuerdo</t>
  </si>
  <si>
    <t>Capacitar 300 personas anualmente a través de escuelas de formación artística y cultural.</t>
  </si>
  <si>
    <t>Personas capacitadas en formación informal artística, cultural y del patrimonio</t>
  </si>
  <si>
    <t>Capacitar</t>
  </si>
  <si>
    <t>anualmente a través de escuelas de formación artística y cultural</t>
  </si>
  <si>
    <t>Se desarrollaron las actividades del proyecto en un proceso contractual con CDP 698 (eventos. formación e inicativas)</t>
  </si>
  <si>
    <t>Apoyar 40 iniciativas de creación y divulgación artística y cultural.</t>
  </si>
  <si>
    <t>Iniciativas culturales apoyadas</t>
  </si>
  <si>
    <t>de creación y divulgación artística y cultural</t>
  </si>
  <si>
    <t>Se adelanto el proceso de iniciativas. sse escogieron los 10 participantes. mas los 3 invitados pero no se entrego el producto para realziar las iniciativas. Debido a inconvenientes con las gatantias del contrato 060 de 2013. Para la vigencia 2015 esta en ejecucion</t>
  </si>
  <si>
    <t>Apoyar 1 plan para la apropiación social del Centro Fundacional de Bosa de manera complementaria con el Sector Cultura.</t>
  </si>
  <si>
    <t>Corredores cuturales, y/o turisticos diseñados y/o intervenidos</t>
  </si>
  <si>
    <t>Plan</t>
  </si>
  <si>
    <t>para la apropiación social del Centro Fundacional de Bosa de manera complementaria con el Sector Cultura.</t>
  </si>
  <si>
    <t>Vincular 3.000 niños(as) de la primera infancia en actividades que promuevan el desarrollo de las capacidades artísticas. culturales recreodeportivas.</t>
  </si>
  <si>
    <t>Personas vinculadas a la oferta recreativa y deportiva </t>
  </si>
  <si>
    <t>Niños (As)</t>
  </si>
  <si>
    <t>de la primera infancia en actividades que promuevan el desarrollo de las capacidades artísticas. culturales y recreodeportivas</t>
  </si>
  <si>
    <t>Paara la vigencia 2015 tambien beneficia 103 padres y acompañantes</t>
  </si>
  <si>
    <t>Formar 250 personas anuales a través de escuelas de formación deportiva.</t>
  </si>
  <si>
    <t>Personas vinculadas a escuelas de formación deportiva</t>
  </si>
  <si>
    <t>Actividades recreativas y deportivas por una Bosa más activa</t>
  </si>
  <si>
    <t>Formar</t>
  </si>
  <si>
    <t>a través de escuelas de formación deportiva</t>
  </si>
  <si>
    <t>Vincular 7.200 adultos mayores a las actividades lúdicas. recreativas para una vejez activa.</t>
  </si>
  <si>
    <t>a las actividades lúdicas y recreativas para una vejez activa</t>
  </si>
  <si>
    <t>Realizar 32 eventos de recreación y deporte.</t>
  </si>
  <si>
    <t>Eventos de recreación y deporte realizados</t>
  </si>
  <si>
    <t>de recreación y deporte</t>
  </si>
  <si>
    <t>Del contrato 109 de 2013 hubo incumplimiento parcial por parte del contreatista y de los 3 eventis contratados unicamente se ejecuto  vacaciones recreativas</t>
  </si>
  <si>
    <t>Mantener 28 parques vecinales.</t>
  </si>
  <si>
    <t>Parques vecinales y/o de bolsillo intervenidos </t>
  </si>
  <si>
    <t>Construcción. adecuación. mantenimiento y dotación de las zonas recreodeportivas de la localidad</t>
  </si>
  <si>
    <t>Mantener</t>
  </si>
  <si>
    <t>Parques</t>
  </si>
  <si>
    <t>vecinales</t>
  </si>
  <si>
    <t>MANTENIMIENTO DE PARQUES VECINALES Y DE BOLSILLO</t>
  </si>
  <si>
    <t>Con recursos 2014 se realiza una adición al contrato 2013. pero no afecta  la meta (11 en total) El recursos 2015 es una adicion al contratraro de la vigencia 2014</t>
  </si>
  <si>
    <t>Construir 6 parques de bolsillo.</t>
  </si>
  <si>
    <t>Parques de bolisllo construidos</t>
  </si>
  <si>
    <t>Construir</t>
  </si>
  <si>
    <t>de bolsillo</t>
  </si>
  <si>
    <t>Con el recurso de la vigencia 2013 se contrataron estudios y diseños para 6 parques de bolsillo. Con la vigencia 2014 se contrata un interventoria para la consultoria 2013</t>
  </si>
  <si>
    <t>Construir 4 parques vecinales.</t>
  </si>
  <si>
    <t>Parques vecinales construidos</t>
  </si>
  <si>
    <t>Con el recurso de la vigencia se contrataron estudios y diseños para 4 parques de vecinales</t>
  </si>
  <si>
    <t>Mantener 60 parques de bolsillo.</t>
  </si>
  <si>
    <t>Con recursos 2014 se realiza una adición al contrato 2013. pero no afecta  la meta (11 en total).  El recursos 2015 es una adicion al contratraro de la vigencia 2014</t>
  </si>
  <si>
    <t>Dotar 1 gimnasio de estimulación adecuada.</t>
  </si>
  <si>
    <t>No agrega</t>
  </si>
  <si>
    <t>gimnasio</t>
  </si>
  <si>
    <t>de estimulación adecuada</t>
  </si>
  <si>
    <t>Vivienda y hábitat humano.</t>
  </si>
  <si>
    <t>Realizar una legalización a través de la licencia de reconocimiento de la construcción para la rehabilitación de la edificación que se encuentra en la dirección Carrera 72 D No 57 A - 03 Sur (Obras Inconclusas).</t>
  </si>
  <si>
    <t>Humanización del hábitat a través de la legalización. titulación y mejoramiento en condiciones de salubridad de vivienda y barrios</t>
  </si>
  <si>
    <t>Por Ciento</t>
  </si>
  <si>
    <t>de la legalización a través de la licencia de reconocimiento de la construcción para la rehabilitación de la edificación que se encuentra en la dirección Carrera 74 Bis No 57 A - 03 Sur (Obras Inconclusas)</t>
  </si>
  <si>
    <t>Vincular 8.000 personas en acciones de divulgación en torno a los programas de titulación. mejoramiento de barrios y mejoramiento en condiciones individuales de vivienda.</t>
  </si>
  <si>
    <t>Personas beneficiadas con asesoría y acompañamiento en soluciones de vivienda y mejoramiento de barrios</t>
  </si>
  <si>
    <t>en acciones de divulgación en torno a los programas de titulación. mejoramiento de barrios y mejoramiento en condiciones individuales de vivienda</t>
  </si>
  <si>
    <t>CONTROL URBANÍSTICO- DESCONGESTIÓN</t>
  </si>
  <si>
    <t>Para la vigencia 2015 el valor de 446 corresponde a expedientes recolectados en procesos de asesoramiento para la titulacion. Sin embargo, no se logro sacar el contrato para la titulacion de estos expedientes. Ese proceso correspondía a la Caja de Vivienda Popular y se buscaba con los recursos del FDL dar un apoyo</t>
  </si>
  <si>
    <t>EJE_DOS</t>
  </si>
  <si>
    <t>Recuperación, rehabilitación y restauración de la estructura ecológica principal y de los espacios del agua.</t>
  </si>
  <si>
    <t>Sembrar 8.000 árboles nativos en la localidad. contemplando el mantenimiento y la conservación.</t>
  </si>
  <si>
    <t>Arboles sembrados</t>
  </si>
  <si>
    <t>Acciones de recuperación y restauración de las zonas de manejo y preservación local</t>
  </si>
  <si>
    <t>Sembrar</t>
  </si>
  <si>
    <t>Árboles</t>
  </si>
  <si>
    <t>en la localidad. contemplando el mantenimiento y la conservación</t>
  </si>
  <si>
    <t>CUERPOS DE AGUA</t>
  </si>
  <si>
    <t>Para la vigencia 2016 se prioriza el recurso par amanteniemieto y tratamiento fitosanitario debido a los procentajes de mortandad causados por la poca precipitacion en la localidad y las altas temporadas de calor. Por eso no se sembro y se priorizo mantenimiento.</t>
  </si>
  <si>
    <t>Recuperar 320.000 m2 de zonas de ronda de los espacios de agua.</t>
  </si>
  <si>
    <t>Espacios ambientales intervenidos</t>
  </si>
  <si>
    <t>Recuperar</t>
  </si>
  <si>
    <t>M2</t>
  </si>
  <si>
    <t>de zonas de ronda de los espacios de agua</t>
  </si>
  <si>
    <t>Vincular 2000 personas con campañas de sensibilización y concientización enfocadas en los espacios del agua.</t>
  </si>
  <si>
    <t>Personas vinculadas en acciones para la conservación o recuperación de los espacios del agua y la protección del ambiente</t>
  </si>
  <si>
    <t>con campañas de sensibilización y concientización enfocadas en los espacios del agua</t>
  </si>
  <si>
    <t>Vincular 80 personas para apoyar al control del uso del suelo e intervención de puntos críticos de basuras y escombros.</t>
  </si>
  <si>
    <t>para apoyar al control del uso del suelo e intervención de puntos críticos de basuras y escombros</t>
  </si>
  <si>
    <t>Intervenir 20.000 focos de plagas (insectos. roedores. vectores. etc.).</t>
  </si>
  <si>
    <t>Focos intervenidos para el control de vectores y plagas </t>
  </si>
  <si>
    <t>Intervenir</t>
  </si>
  <si>
    <t>para el control de focos de plagas (insectos. roedores. vectores. etc.)</t>
  </si>
  <si>
    <t>El hospital interviene para el 2013 7000 mts 2 adicionales por mes. Son 8 meses (56 mts cuadrados)</t>
  </si>
  <si>
    <t>Movilidad Humana.</t>
  </si>
  <si>
    <t>Rehabilitar 46 Km/carril de malla vial local.</t>
  </si>
  <si>
    <t>Km/carril de malla vial local recuperados</t>
  </si>
  <si>
    <t>Construcción. rehabilitación y/o mantenimiento de la malla vial y del espacio público de la localidad</t>
  </si>
  <si>
    <t>Rehabilitar</t>
  </si>
  <si>
    <t>Km/Carril</t>
  </si>
  <si>
    <t>de malla vial local</t>
  </si>
  <si>
    <t>11.5</t>
  </si>
  <si>
    <t>MALLA VIAL LOCAL Y  ESPACIO PUBLICO</t>
  </si>
  <si>
    <t>CON RECURSOS 2014 PAGO SENTENCIA JUDICIAL REPARACION DIRECTA 2008-347 SEGUN FALLO DE SEGUNDA INSTANCIA DEL TRIBUNAL ADMINISTRATIVO DE CUNDINAMARCA.</t>
  </si>
  <si>
    <t>Construir 8400 m2 de espacio público.</t>
  </si>
  <si>
    <t>m2 de espacio público  construidos.</t>
  </si>
  <si>
    <t>Construcción, rehabilitación y/o mantenimiento de la malla vial y del espacio público de la localidad</t>
  </si>
  <si>
    <t>Construír</t>
  </si>
  <si>
    <t>de espacio público</t>
  </si>
  <si>
    <t>Con el recurso de la vigencia 2013 y 2014 se destino para estudios y diseños. </t>
  </si>
  <si>
    <t>Gestión integral de riesgos.</t>
  </si>
  <si>
    <t>Sensibilizar 15000 habitantes anuales frente a la gestión del riesgo.</t>
  </si>
  <si>
    <t>Habitantes sensibilizados en gestión local del riesgo</t>
  </si>
  <si>
    <t>Acciones para fortalecer la gestión integral de riesgos de la localidad</t>
  </si>
  <si>
    <t>Sensibilizar</t>
  </si>
  <si>
    <t>Habitantes</t>
  </si>
  <si>
    <t>anuales frente a la gestión del riesgo</t>
  </si>
  <si>
    <t>MITIGACIÓN- GESTIÓN DEL RIESGO</t>
  </si>
  <si>
    <t>Suministrar 1 grupo anual de elementos para fortalecer el CLE.</t>
  </si>
  <si>
    <t>Dotaciones realizadas al CLE </t>
  </si>
  <si>
    <t>Suministrar</t>
  </si>
  <si>
    <t>Grupo</t>
  </si>
  <si>
    <t>anual de elementos para fortalecer el CLE</t>
  </si>
  <si>
    <t>Realizar 100% de obras de mitigación priorizadas para el manejo del riesgo.</t>
  </si>
  <si>
    <t>Porcentaje de obras para el manejo de riesgo realizadas frente a las solicitadas</t>
  </si>
  <si>
    <t>%</t>
  </si>
  <si>
    <t>obras de mitigación priorizadas para el manejo del riesgo</t>
  </si>
  <si>
    <t>El recurso de la vigencia 2013 se destino para el manejo integral de plagas y enfermedades en arbolado adulto y tala de arboles como una condicion de riesgo presente en la localidad</t>
  </si>
  <si>
    <t>Basuras cero.</t>
  </si>
  <si>
    <t>Vincular 400 personas en la implementación de compostadores domiciliarios para el manejo de los residuos orgánicos.</t>
  </si>
  <si>
    <t>Personas vinculadas a campañas de promoción de reciclaje y disposición diferenciada de residuos sólidos</t>
  </si>
  <si>
    <t>Acciones para fortalecer el manejo de residuos sólidos aprovechables en la localidad</t>
  </si>
  <si>
    <t>en la implementación de compostadores domiciliarios para el manejo de los residuos orgánicos</t>
  </si>
  <si>
    <t>El recurso de la vigencia 2014 corresponde aa una interventoría. No afecta la meta de lavigencia</t>
  </si>
  <si>
    <t>Apoyar 4 iniciativas de manejo y/o aprovechamiento integral de residuos.</t>
  </si>
  <si>
    <t>Iniciativas ambientales y de aprovechamiento de residuos  apoyadas</t>
  </si>
  <si>
    <t>de manejo y/o aprovechamiento integral de residuos</t>
  </si>
  <si>
    <t>Se proyectó apoyar una inciativa para los recicladrores de la localidad, pero se presentaron 12 organizaciones para apoyar sus inciativas en el 2013 y se incluyeron 2 más en 2014 ( con recursos 2013 se apoyo en el tema de legalización y con recursos 2014 se apoya en temas administrativos, financieros y conrtables)</t>
  </si>
  <si>
    <t>Vincular 4000 personas en campañas dirigidas a la sensibilización y educación ambiental para el manejo integral de residuos sólidos.</t>
  </si>
  <si>
    <t>en campañas dirigidas a la sensibilización y educación ambiental para el manejo integral de residuos sólidos</t>
  </si>
  <si>
    <t>En en l 2013 el proceso se va a realizar puerta a puerta para 30 mil viviendas, sin embargo como el proceso es mas lento la ejecucon fisica real tuvo una disminucion</t>
  </si>
  <si>
    <t>Bogotá Humana ambientalmente saludable.</t>
  </si>
  <si>
    <t>Sensibilizar 2000 personas frente al manejo y cuidado de animales.</t>
  </si>
  <si>
    <t>Número de personas beneficiadas con campañas para el manejo y cuidado de animales</t>
  </si>
  <si>
    <t>Bosa humana ambientalmente saludable</t>
  </si>
  <si>
    <t>frente al manejo y cuidado de animales</t>
  </si>
  <si>
    <t>  recursdo 2014 se realió unaadicion complementaria para los procesos de concertacion del retiro de 800 semovientes del sector de San Bernardino</t>
  </si>
  <si>
    <t>Sensibilizar 1000 personas sobre contaminación atmosférica en componentes visuales, sonoros y de calidad del aire.</t>
  </si>
  <si>
    <t>Personas vinculadas a procesos de sensibilización sobre contaminación atmosférica, visual  y auditiva.</t>
  </si>
  <si>
    <t>sobre contaminación atmosférica en componentes visuales, sonoros y de calidad del aire</t>
  </si>
  <si>
    <t>EJE_TRES</t>
  </si>
  <si>
    <t>Bogotá Humana participa y decide.</t>
  </si>
  <si>
    <t>Vincular 6.000 personas como mínimo en procesos de la planeación y presupuesto participativo.</t>
  </si>
  <si>
    <t>Personas  vinculadas a procesos de presupestos participativos </t>
  </si>
  <si>
    <t>Fortalecimiento de la participación ciudadana y comunitaria</t>
  </si>
  <si>
    <t>como mínimo en procesos de la planeación y presupuesto participativo</t>
  </si>
  <si>
    <t>Con este recurso se realizó el apoyo logístico para cabildos de vías. Para el 2014 el recurso se utilizó para el proceso de rendicion de cuentas</t>
  </si>
  <si>
    <t>Vincular 600 personas en procesos de formación y capacitación en temas relacionados con la formulación de proyectos, contratación, seguimiento y control social incluyendo presupuestos participativos y formación de formadores.</t>
  </si>
  <si>
    <t>Personas vinculadas en campañas para promover la participación y el control social</t>
  </si>
  <si>
    <t>en procesos de formación y capacitación en temas relacionados con la formulación de proyectos, contratación, seguimiento y control social incluyendo presupuestos participativos</t>
  </si>
  <si>
    <t>Para la vigencia 2013,  en el proceso de convocatoria estaba dirigido a 390 pero solo se pudo consolidar un grupo de 200 personas</t>
  </si>
  <si>
    <t>Fortalecer 160 organizaciones sociales y/o formas de participación en aspectos técnicos, logísticos, operativos y de visibilización.</t>
  </si>
  <si>
    <t>Organizaciones sociales fortalecidas para la participación</t>
  </si>
  <si>
    <t>Fortalecer</t>
  </si>
  <si>
    <t>Organizaciones Sociales</t>
  </si>
  <si>
    <t>y /o formas de participación en aspectos técnicos, logísticos, operativos y de visibilización</t>
  </si>
  <si>
    <t>El recurso de la meta del 2016  se invirtio para la sostenibilidad de la casa de la participacion y se benefician instnacias, organizaciones y espacios</t>
  </si>
  <si>
    <t>Dotar 75 salones comunales.</t>
  </si>
  <si>
    <t>Salones comunales dotados</t>
  </si>
  <si>
    <t>Salones Comunales</t>
  </si>
  <si>
    <t>suministrar elementos que permitan cubrir las necesidades de los salones comunales para la realización de actividades y eventos que propicien la integración, recreación, desarrollo socioeconómico y empoderamiento</t>
  </si>
  <si>
    <t>Culminar 1 construcción de la casa de la participación (obras inconclusas).</t>
  </si>
  <si>
    <t>Culminar</t>
  </si>
  <si>
    <t>Casa De La Participación</t>
  </si>
  <si>
    <t>(Obras Inconclusas)</t>
  </si>
  <si>
    <t>Dotar 1 casa de la participación.</t>
  </si>
  <si>
    <t>Casa</t>
  </si>
  <si>
    <t>de la participación</t>
  </si>
  <si>
    <t>Apoyar logísticamente 1 red local de comunicación social.</t>
  </si>
  <si>
    <t>Medios comunitarios apoyados</t>
  </si>
  <si>
    <t>Apoyar Logísticamente</t>
  </si>
  <si>
    <t>Red Local</t>
  </si>
  <si>
    <t>de comunicación social</t>
  </si>
  <si>
    <t>Vincular 2.000 jóvenes en la promoción de la política de juventud y sus actividades.</t>
  </si>
  <si>
    <t>Personas vinculadas a procesos de promoción de la política de juventud</t>
  </si>
  <si>
    <t>Jóvenes</t>
  </si>
  <si>
    <t>en la promoción de la política pública de juventud y sus actividades</t>
  </si>
  <si>
    <t>Para la vigencia 2013 se vinculasron con un proces de escuela de formacion politca de ciudadani juevenil, derechos humanos, objecion de concienc, estatuto de ciudadani juvenil sistea distrtal de juventuda, estrcutura de estado y formas de control social, planeacion participativa con enfoque diferencial y de genero. Adiconalmente  se abordó con 1200 jovernes gobierno en linea</t>
  </si>
  <si>
    <t>Fortalecimiento de las capacidades de gestión y coordinación del nivel central y las localidades desde los territorios.</t>
  </si>
  <si>
    <t>Vincular 1.000 personas en acciones de promoción de la convivencia pacífica y solidaria.</t>
  </si>
  <si>
    <t>Gestión para la convivencia</t>
  </si>
  <si>
    <t>en acciones de promoción de la convivencia pacífica y solidaria</t>
  </si>
  <si>
    <t>Vincular 1.000 personas en programas de convivencia interétnica.</t>
  </si>
  <si>
    <t>en programas de convivencia interétnica</t>
  </si>
  <si>
    <t>Vincular 1.000 personas en campañas de inspección, vigilancia y control urbanístico.</t>
  </si>
  <si>
    <t>Porcentaje de solicitudes sobre inspeccción, vigilancia y control para la convivencia intervenidas frente a las solicitadas</t>
  </si>
  <si>
    <t>en campañas de inspección, vigilancia y control urbanístico</t>
  </si>
  <si>
    <t>Bogotá, ciudad de memoria, paz y reconciliación.</t>
  </si>
  <si>
    <t>Vincular 4.000 personas con procesos de inclusión y convivencia entre comunidades receptoras y víctimas del conflicto (incluyendo la galería de la memoria).</t>
  </si>
  <si>
    <t>Inclusión social de las victimas de la violencia</t>
  </si>
  <si>
    <t>con procesos de inclusión y convivencia entre comunidades receptoras y víctimas del conflicto (incluyendo la galería de la memoria).</t>
  </si>
  <si>
    <t>Bogotá decide y protege el derecho fundamental a la salud de los intereses del  mercado y la corrupción.</t>
  </si>
  <si>
    <t>Vincular 3.400 personas en defensa de los derechos de salud.</t>
  </si>
  <si>
    <t>Personas vinculadas en exigibilidad de derecho a la salud</t>
  </si>
  <si>
    <t>Derecho a la salud publica</t>
  </si>
  <si>
    <t>en defensa de los derechos de salud.</t>
  </si>
  <si>
    <t>Fortalecimiento de la función administrativa y desarrollo institucional.</t>
  </si>
  <si>
    <t>Cubrir 9 ediles con pago de honorarios.</t>
  </si>
  <si>
    <t>Ediles con pago de honorarios cubierto</t>
  </si>
  <si>
    <t>Fortalecimiento a la gestión pública local</t>
  </si>
  <si>
    <t>Cubrir</t>
  </si>
  <si>
    <t>Ediles</t>
  </si>
  <si>
    <t>con pago de honorarios</t>
  </si>
  <si>
    <t>La meta está en ejecución</t>
  </si>
  <si>
    <t>Diseñar 1 estrategia para el
fortalecimiento de la función
administrativa e institucional.</t>
  </si>
  <si>
    <t>Estrategias realizadas de fortalecimiento institucional</t>
  </si>
  <si>
    <t>Diseñar</t>
  </si>
  <si>
    <t>Estrategia</t>
  </si>
  <si>
    <t>para el fortalecimiento de la función administrativa e institucional</t>
  </si>
  <si>
    <t>Una ciudad que supera la segregación y la discriminación: el ser humano en el centro de las preocupaciones del
desarrollo
</t>
  </si>
  <si>
    <t> Un territorio que enfrenta el cambio climático y se ordena alrededor del agua</t>
  </si>
  <si>
    <t>Una Bogotá que defiende y fortalece lo público</t>
  </si>
</sst>
</file>

<file path=xl/styles.xml><?xml version="1.0" encoding="utf-8"?>
<styleSheet xmlns="http://schemas.openxmlformats.org/spreadsheetml/2006/main">
  <numFmts count="9">
    <numFmt formatCode="GENERAL" numFmtId="164"/>
    <numFmt formatCode="_-* #,##0.00\ _€_-;\-* #,##0.00\ _€_-;_-* \-??\ _€_-;_-@_-" numFmtId="165"/>
    <numFmt formatCode="0%" numFmtId="166"/>
    <numFmt formatCode="#,##0" numFmtId="167"/>
    <numFmt formatCode="0" numFmtId="168"/>
    <numFmt formatCode="&quot;$ &quot;#,##0" numFmtId="169"/>
    <numFmt formatCode="_-* #,##0_-;\-* #,##0_-;_-* \-_-;_-@_-" numFmtId="170"/>
    <numFmt formatCode="#,##0.0" numFmtId="171"/>
    <numFmt formatCode="#,##0.00" numFmtId="172"/>
  </numFmts>
  <fonts count="15">
    <font>
      <name val="Calibri"/>
      <charset val="1"/>
      <family val="2"/>
      <color rgb="FF000000"/>
      <sz val="11"/>
    </font>
    <font>
      <name val="Arial"/>
      <family val="0"/>
      <sz val="10"/>
    </font>
    <font>
      <name val="Arial"/>
      <family val="0"/>
      <sz val="10"/>
    </font>
    <font>
      <name val="Arial"/>
      <family val="0"/>
      <sz val="10"/>
    </font>
    <font>
      <name val="Calibri"/>
      <charset val="1"/>
      <family val="2"/>
      <sz val="10"/>
    </font>
    <font>
      <name val="Arial Narrow"/>
      <charset val="1"/>
      <family val="2"/>
      <color rgb="FF000000"/>
      <sz val="10"/>
    </font>
    <font>
      <name val="Calibri"/>
      <charset val="1"/>
      <family val="2"/>
      <b val="true"/>
      <color rgb="FFFFFFFF"/>
      <sz val="12"/>
    </font>
    <font>
      <name val="Calibri"/>
      <charset val="1"/>
      <family val="2"/>
      <color rgb="FF000000"/>
      <sz val="12"/>
    </font>
    <font>
      <name val="Calibri"/>
      <charset val="1"/>
      <family val="2"/>
      <color rgb="FF000000"/>
      <sz val="10"/>
    </font>
    <font>
      <name val="Tahoma"/>
      <charset val="1"/>
      <family val="2"/>
      <b val="true"/>
      <color rgb="FF000000"/>
      <sz val="9"/>
    </font>
    <font>
      <name val="Tahoma"/>
      <charset val="1"/>
      <family val="2"/>
      <b val="true"/>
      <color rgb="FF000000"/>
      <sz val="8"/>
    </font>
    <font>
      <name val="Tahoma"/>
      <charset val="1"/>
      <family val="2"/>
      <color rgb="FF000000"/>
      <sz val="8"/>
    </font>
    <font>
      <name val="Tahoma"/>
      <charset val="1"/>
      <family val="2"/>
      <color rgb="FF000000"/>
      <sz val="9"/>
    </font>
    <font>
      <name val="Calibri"/>
      <charset val="1"/>
      <family val="2"/>
      <b val="true"/>
      <color rgb="FFFF0000"/>
      <sz val="12"/>
    </font>
    <font>
      <name val="Calibri"/>
      <charset val="1"/>
      <family val="2"/>
      <b val="true"/>
      <color rgb="FF595959"/>
      <sz val="8"/>
    </font>
  </fonts>
  <fills count="13">
    <fill>
      <patternFill patternType="none"/>
    </fill>
    <fill>
      <patternFill patternType="gray125"/>
    </fill>
    <fill>
      <patternFill patternType="solid">
        <fgColor rgb="FF254061"/>
        <bgColor rgb="FF1F4E79"/>
      </patternFill>
    </fill>
    <fill>
      <patternFill patternType="solid">
        <fgColor rgb="FF376091"/>
        <bgColor rgb="FF1F4E79"/>
      </patternFill>
    </fill>
    <fill>
      <patternFill patternType="solid">
        <fgColor rgb="FFFFFFFF"/>
        <bgColor rgb="FFFFFFCC"/>
      </patternFill>
    </fill>
    <fill>
      <patternFill patternType="solid">
        <fgColor rgb="FFF8CBAD"/>
        <bgColor rgb="FFDBDBDB"/>
      </patternFill>
    </fill>
    <fill>
      <patternFill patternType="solid">
        <fgColor rgb="FF1F4E79"/>
        <bgColor rgb="FF254061"/>
      </patternFill>
    </fill>
    <fill>
      <patternFill patternType="solid">
        <fgColor rgb="FF4472C4"/>
        <bgColor rgb="FF2E75B6"/>
      </patternFill>
    </fill>
    <fill>
      <patternFill patternType="solid">
        <fgColor rgb="FF2E75B6"/>
        <bgColor rgb="FF4472C4"/>
      </patternFill>
    </fill>
    <fill>
      <patternFill patternType="solid">
        <fgColor rgb="FFB4C7E7"/>
        <bgColor rgb="FF99CCFF"/>
      </patternFill>
    </fill>
    <fill>
      <patternFill patternType="solid">
        <fgColor rgb="FFDBDBDB"/>
        <bgColor rgb="FFF8CBAD"/>
      </patternFill>
    </fill>
    <fill>
      <patternFill patternType="solid">
        <fgColor rgb="FFA5A5A5"/>
        <bgColor rgb="FF9999FF"/>
      </patternFill>
    </fill>
    <fill>
      <patternFill patternType="solid">
        <fgColor rgb="FFED7D31"/>
        <bgColor rgb="FFFF8080"/>
      </patternFill>
    </fill>
  </fills>
  <borders count="22">
    <border diagonalDown="false" diagonalUp="false">
      <left/>
      <right/>
      <top/>
      <bottom/>
      <diagonal/>
    </border>
    <border diagonalDown="false" diagonalUp="false">
      <left/>
      <right/>
      <top/>
      <bottom style="thick">
        <color rgb="FF333300"/>
      </bottom>
      <diagonal/>
    </border>
    <border diagonalDown="false" diagonalUp="false">
      <left style="thick">
        <color rgb="FF333300"/>
      </left>
      <right style="thick">
        <color rgb="FF333300"/>
      </right>
      <top style="thick">
        <color rgb="FF333300"/>
      </top>
      <bottom style="thick">
        <color rgb="FF333300"/>
      </bottom>
      <diagonal/>
    </border>
    <border diagonalDown="false" diagonalUp="false">
      <left style="thick">
        <color rgb="FF333300"/>
      </left>
      <right/>
      <top/>
      <bottom style="thick">
        <color rgb="FF333300"/>
      </bottom>
      <diagonal/>
    </border>
    <border diagonalDown="false" diagonalUp="false">
      <left style="thick">
        <color rgb="FF333300"/>
      </left>
      <right style="thick">
        <color rgb="FF333300"/>
      </right>
      <top/>
      <bottom style="thick"/>
      <diagonal/>
    </border>
    <border diagonalDown="false" diagonalUp="false">
      <left style="thick">
        <color rgb="FF333333"/>
      </left>
      <right style="thick">
        <color rgb="FF333333"/>
      </right>
      <top style="thick">
        <color rgb="FF333333"/>
      </top>
      <bottom style="thick">
        <color rgb="FF333333"/>
      </bottom>
      <diagonal/>
    </border>
    <border diagonalDown="false" diagonalUp="false">
      <left style="thick">
        <color rgb="FF333333"/>
      </left>
      <right style="thick">
        <color rgb="FF333333"/>
      </right>
      <top style="thick">
        <color rgb="FF333333"/>
      </top>
      <bottom/>
      <diagonal/>
    </border>
    <border diagonalDown="false" diagonalUp="false">
      <left style="thick"/>
      <right style="thick"/>
      <top style="thick"/>
      <bottom style="thick"/>
      <diagonal/>
    </border>
    <border diagonalDown="false" diagonalUp="false">
      <left style="thick">
        <color rgb="FF333300"/>
      </left>
      <right style="thick">
        <color rgb="FF333300"/>
      </right>
      <top style="thick">
        <color rgb="FF333300"/>
      </top>
      <bottom/>
      <diagonal/>
    </border>
    <border diagonalDown="false" diagonalUp="false">
      <left style="thick">
        <color rgb="FF1A1A1A"/>
      </left>
      <right style="thick">
        <color rgb="FF1A1A1A"/>
      </right>
      <top style="thick">
        <color rgb="FF1A1A1A"/>
      </top>
      <bottom/>
      <diagonal/>
    </border>
    <border diagonalDown="false" diagonalUp="false">
      <left style="thick">
        <color rgb="FF333300"/>
      </left>
      <right style="thick"/>
      <top style="thick">
        <color rgb="FF333300"/>
      </top>
      <bottom/>
      <diagonal/>
    </border>
    <border diagonalDown="false" diagonalUp="false">
      <left style="thick"/>
      <right style="thick"/>
      <top style="thick"/>
      <bottom/>
      <diagonal/>
    </border>
    <border diagonalDown="false" diagonalUp="false">
      <left style="thick">
        <color rgb="FF333300"/>
      </left>
      <right/>
      <top style="thick">
        <color rgb="FF333300"/>
      </top>
      <bottom/>
      <diagonal/>
    </border>
    <border diagonalDown="false" diagonalUp="false">
      <left style="thick"/>
      <right/>
      <top style="thick"/>
      <bottom style="thick"/>
      <diagonal/>
    </border>
    <border diagonalDown="false" diagonalUp="false">
      <left/>
      <right style="thick"/>
      <top style="thick"/>
      <bottom style="thick"/>
      <diagonal/>
    </border>
    <border diagonalDown="false" diagonalUp="false">
      <left style="thick">
        <color rgb="FF333300"/>
      </left>
      <right style="thick">
        <color rgb="FF333300"/>
      </right>
      <top/>
      <bottom/>
      <diagonal/>
    </border>
    <border diagonalDown="false" diagonalUp="false">
      <left style="thick">
        <color rgb="FF333300"/>
      </left>
      <right/>
      <top/>
      <bottom/>
      <diagonal/>
    </border>
    <border diagonalDown="false" diagonalUp="false">
      <left/>
      <right style="thick">
        <color rgb="FF1A1A1A"/>
      </right>
      <top/>
      <bottom/>
      <diagonal/>
    </border>
    <border diagonalDown="false" diagonalUp="false">
      <left style="thick">
        <color rgb="FF333300"/>
      </left>
      <right style="thick"/>
      <top/>
      <bottom/>
      <diagonal/>
    </border>
    <border diagonalDown="false" diagonalUp="false">
      <left style="thick"/>
      <right style="thick"/>
      <top/>
      <bottom style="thick"/>
      <diagonal/>
    </border>
    <border diagonalDown="false" diagonalUp="false">
      <left style="thick">
        <color rgb="FF1A1A1A"/>
      </left>
      <right style="thick">
        <color rgb="FF1A1A1A"/>
      </right>
      <top/>
      <bottom/>
      <diagonal/>
    </border>
    <border diagonalDown="false" diagonalUp="false">
      <left/>
      <right style="thick">
        <color rgb="FF333300"/>
      </right>
      <top style="thick">
        <color rgb="FF333300"/>
      </top>
      <bottom/>
      <diagonal/>
    </border>
  </borders>
  <cellStyleXfs count="26">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true" applyBorder="true" applyFont="true" applyProtection="true" borderId="0" fillId="0" fontId="0" numFmtId="166">
      <alignment horizontal="general" indent="0" shrinkToFit="false" textRotation="0" vertical="bottom" wrapText="false"/>
      <protection hidden="false" locked="true"/>
    </xf>
    <xf applyAlignment="true" applyBorder="true" applyFont="true" applyProtection="true" borderId="0" fillId="0" fontId="4" numFmtId="165">
      <alignment horizontal="general" indent="0" shrinkToFit="false" textRotation="0" vertical="bottom" wrapText="false"/>
      <protection hidden="false" locked="true"/>
    </xf>
    <xf applyAlignment="true" applyBorder="true" applyFont="true" applyProtection="true" borderId="0" fillId="0" fontId="0" numFmtId="164">
      <alignment horizontal="general" indent="0" shrinkToFit="false" textRotation="0" vertical="bottom" wrapText="false"/>
      <protection hidden="false" locked="true"/>
    </xf>
    <xf applyAlignment="true" applyBorder="true" applyFont="true" applyProtection="true" borderId="0" fillId="0" fontId="4" numFmtId="164">
      <alignment horizontal="general" indent="0" shrinkToFit="false" textRotation="0" vertical="bottom" wrapText="false"/>
      <protection hidden="false" locked="true"/>
    </xf>
    <xf applyAlignment="true" applyBorder="true" applyFont="true" applyProtection="true" borderId="0" fillId="0" fontId="4" numFmtId="164">
      <alignment horizontal="general" indent="0" shrinkToFit="false" textRotation="0" vertical="bottom" wrapText="false"/>
      <protection hidden="false" locked="true"/>
    </xf>
    <xf applyAlignment="true" applyBorder="true" applyFont="true" applyProtection="true" borderId="0" fillId="0" fontId="0" numFmtId="166">
      <alignment horizontal="general" indent="0" shrinkToFit="false" textRotation="0" vertical="bottom" wrapText="false"/>
      <protection hidden="false" locked="true"/>
    </xf>
    <xf applyAlignment="true" applyBorder="true" applyFont="true" applyProtection="true" borderId="0" fillId="0" fontId="0" numFmtId="170">
      <alignment horizontal="general" indent="0" shrinkToFit="false" textRotation="0" vertical="bottom" wrapText="false"/>
      <protection hidden="false" locked="true"/>
    </xf>
  </cellStyleXfs>
  <cellXfs count="114">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false" applyFont="true" applyProtection="true" borderId="0" fillId="0" fontId="5" numFmtId="164" xfId="0">
      <alignment horizontal="center" indent="0" shrinkToFit="false" textRotation="0" vertical="center" wrapText="true"/>
      <protection hidden="false" locked="true"/>
    </xf>
    <xf applyAlignment="false" applyBorder="false" applyFont="true" applyProtection="true" borderId="0" fillId="0" fontId="5" numFmtId="164" xfId="0">
      <alignment horizontal="general" indent="0" shrinkToFit="false" textRotation="0" vertical="bottom" wrapText="false"/>
      <protection hidden="false" locked="false"/>
    </xf>
    <xf applyAlignment="true" applyBorder="false" applyFont="true" applyProtection="true" borderId="0" fillId="0" fontId="5" numFmtId="164" xfId="0">
      <alignment horizontal="general" indent="0" shrinkToFit="false" textRotation="0" vertical="center" wrapText="true"/>
      <protection hidden="false" locked="false"/>
    </xf>
    <xf applyAlignment="true" applyBorder="false" applyFont="true" applyProtection="true" borderId="0" fillId="0" fontId="5" numFmtId="164" xfId="0">
      <alignment horizontal="center" indent="0" shrinkToFit="false" textRotation="0" vertical="center" wrapText="true"/>
      <protection hidden="false" locked="false"/>
    </xf>
    <xf applyAlignment="true" applyBorder="false" applyFont="true" applyProtection="true" borderId="0" fillId="0" fontId="5" numFmtId="164" xfId="0">
      <alignment horizontal="justify" indent="0" shrinkToFit="false" textRotation="0" vertical="center" wrapText="true"/>
      <protection hidden="false" locked="false"/>
    </xf>
    <xf applyAlignment="true" applyBorder="false" applyFont="true" applyProtection="true" borderId="0" fillId="0" fontId="5" numFmtId="164" xfId="0">
      <alignment horizontal="center" indent="0" shrinkToFit="false" textRotation="0" vertical="center" wrapText="false"/>
      <protection hidden="false" locked="false"/>
    </xf>
    <xf applyAlignment="true" applyBorder="false" applyFont="true" applyProtection="true" borderId="0" fillId="0" fontId="5" numFmtId="164" xfId="0">
      <alignment horizontal="center" indent="0" shrinkToFit="false" textRotation="0" vertical="center" wrapText="true"/>
      <protection hidden="false" locked="false"/>
    </xf>
    <xf applyAlignment="true" applyBorder="false" applyFont="true" applyProtection="true" borderId="0" fillId="0" fontId="5" numFmtId="167" xfId="0">
      <alignment horizontal="center" indent="0" shrinkToFit="false" textRotation="0" vertical="center" wrapText="false"/>
      <protection hidden="false" locked="false"/>
    </xf>
    <xf applyAlignment="true" applyBorder="false" applyFont="true" applyProtection="true" borderId="0" fillId="0" fontId="5" numFmtId="167" xfId="0">
      <alignment horizontal="general" indent="0" shrinkToFit="false" textRotation="0" vertical="center" wrapText="true"/>
      <protection hidden="false" locked="false"/>
    </xf>
    <xf applyAlignment="true" applyBorder="true" applyFont="true" applyProtection="true" borderId="1" fillId="2" fontId="6" numFmtId="164" xfId="0">
      <alignment horizontal="center" indent="0" shrinkToFit="false" textRotation="0" vertical="center" wrapText="true"/>
      <protection hidden="false" locked="true"/>
    </xf>
    <xf applyAlignment="true" applyBorder="true" applyFont="true" applyProtection="true" borderId="2" fillId="3" fontId="6" numFmtId="164" xfId="22">
      <alignment horizontal="center" indent="0" shrinkToFit="false" textRotation="0" vertical="center" wrapText="true"/>
      <protection hidden="false" locked="true"/>
    </xf>
    <xf applyAlignment="true" applyBorder="true" applyFont="true" applyProtection="true" borderId="2" fillId="3" fontId="6" numFmtId="167" xfId="22">
      <alignment horizontal="center" indent="0" shrinkToFit="false" textRotation="0" vertical="center" wrapText="true"/>
      <protection hidden="false" locked="true"/>
    </xf>
    <xf applyAlignment="true" applyBorder="true" applyFont="true" applyProtection="true" borderId="2" fillId="2" fontId="6" numFmtId="167" xfId="22">
      <alignment horizontal="center" indent="0" shrinkToFit="false" textRotation="0" vertical="center" wrapText="true"/>
      <protection hidden="false" locked="true"/>
    </xf>
    <xf applyAlignment="true" applyBorder="true" applyFont="true" applyProtection="true" borderId="3" fillId="2" fontId="6" numFmtId="167" xfId="22">
      <alignment horizontal="center" indent="0" shrinkToFit="false" textRotation="0" vertical="center" wrapText="true"/>
      <protection hidden="false" locked="true"/>
    </xf>
    <xf applyAlignment="true" applyBorder="true" applyFont="true" applyProtection="true" borderId="3" fillId="3" fontId="6" numFmtId="167" xfId="22">
      <alignment horizontal="center" indent="0" shrinkToFit="false" textRotation="0" vertical="center" wrapText="true"/>
      <protection hidden="false" locked="true"/>
    </xf>
    <xf applyAlignment="true" applyBorder="true" applyFont="true" applyProtection="true" borderId="4" fillId="3" fontId="6" numFmtId="167" xfId="22">
      <alignment horizontal="center" indent="0" shrinkToFit="false" textRotation="0" vertical="center" wrapText="true"/>
      <protection hidden="false" locked="true"/>
    </xf>
    <xf applyAlignment="true" applyBorder="true" applyFont="true" applyProtection="true" borderId="3" fillId="3" fontId="6" numFmtId="167" xfId="22">
      <alignment horizontal="general" indent="0" shrinkToFit="false" textRotation="0" vertical="center" wrapText="true"/>
      <protection hidden="false" locked="true"/>
    </xf>
    <xf applyAlignment="true" applyBorder="true" applyFont="true" applyProtection="true" borderId="2" fillId="2" fontId="6" numFmtId="164" xfId="22">
      <alignment horizontal="center" indent="0" shrinkToFit="false" textRotation="0" vertical="center" wrapText="true"/>
      <protection hidden="false" locked="true"/>
    </xf>
    <xf applyAlignment="true" applyBorder="true" applyFont="true" applyProtection="false" borderId="0" fillId="4" fontId="7" numFmtId="164" xfId="0">
      <alignment horizontal="general" indent="0" shrinkToFit="false" textRotation="0" vertical="center" wrapText="true"/>
      <protection hidden="false" locked="true"/>
    </xf>
    <xf applyAlignment="true" applyBorder="true" applyFont="true" applyProtection="true" borderId="5" fillId="2" fontId="6" numFmtId="164" xfId="24">
      <alignment horizontal="center" indent="0" shrinkToFit="false" textRotation="0" vertical="center" wrapText="true"/>
      <protection hidden="false" locked="true"/>
    </xf>
    <xf applyAlignment="true" applyBorder="true" applyFont="true" applyProtection="true" borderId="6" fillId="2" fontId="6" numFmtId="164" xfId="24">
      <alignment horizontal="center" indent="0" shrinkToFit="false" textRotation="0" vertical="center" wrapText="true"/>
      <protection hidden="false" locked="true"/>
    </xf>
    <xf applyAlignment="true" applyBorder="true" applyFont="true" applyProtection="true" borderId="7" fillId="5" fontId="6" numFmtId="164" xfId="22">
      <alignment horizontal="center" indent="0" shrinkToFit="false" textRotation="0" vertical="center" wrapText="true"/>
      <protection hidden="false" locked="true"/>
    </xf>
    <xf applyAlignment="true" applyBorder="true" applyFont="true" applyProtection="true" borderId="7" fillId="6" fontId="6" numFmtId="164" xfId="22">
      <alignment horizontal="center" indent="0" shrinkToFit="false" textRotation="0" vertical="center" wrapText="true"/>
      <protection hidden="false" locked="true"/>
    </xf>
    <xf applyAlignment="true" applyBorder="true" applyFont="true" applyProtection="true" borderId="8" fillId="2" fontId="6" numFmtId="164" xfId="22">
      <alignment horizontal="center" indent="0" shrinkToFit="false" textRotation="0" vertical="center" wrapText="true"/>
      <protection hidden="false" locked="true"/>
    </xf>
    <xf applyAlignment="true" applyBorder="true" applyFont="true" applyProtection="true" borderId="8" fillId="2" fontId="6" numFmtId="167" xfId="22">
      <alignment horizontal="center" indent="0" shrinkToFit="false" textRotation="0" vertical="center" wrapText="true"/>
      <protection hidden="false" locked="true"/>
    </xf>
    <xf applyAlignment="true" applyBorder="true" applyFont="true" applyProtection="true" borderId="8" fillId="2" fontId="6" numFmtId="164" xfId="22">
      <alignment horizontal="center" indent="0" shrinkToFit="false" textRotation="0" vertical="center" wrapText="true"/>
      <protection hidden="false" locked="true"/>
    </xf>
    <xf applyAlignment="true" applyBorder="true" applyFont="true" applyProtection="true" borderId="8" fillId="3" fontId="6" numFmtId="164" xfId="22">
      <alignment horizontal="center" indent="0" shrinkToFit="false" textRotation="0" vertical="center" wrapText="true"/>
      <protection hidden="false" locked="true"/>
    </xf>
    <xf applyAlignment="true" applyBorder="true" applyFont="true" applyProtection="true" borderId="8" fillId="3" fontId="6" numFmtId="167" xfId="22">
      <alignment horizontal="center" indent="0" shrinkToFit="false" textRotation="0" vertical="center" wrapText="true"/>
      <protection hidden="false" locked="true"/>
    </xf>
    <xf applyAlignment="true" applyBorder="true" applyFont="true" applyProtection="true" borderId="8" fillId="2" fontId="6" numFmtId="167" xfId="23">
      <alignment horizontal="center" indent="0" shrinkToFit="false" textRotation="0" vertical="center" wrapText="true"/>
      <protection hidden="false" locked="true"/>
    </xf>
    <xf applyAlignment="true" applyBorder="true" applyFont="true" applyProtection="true" borderId="8" fillId="7" fontId="6" numFmtId="167" xfId="22">
      <alignment horizontal="center" indent="0" shrinkToFit="false" textRotation="0" vertical="center" wrapText="true"/>
      <protection hidden="false" locked="true"/>
    </xf>
    <xf applyAlignment="true" applyBorder="true" applyFont="true" applyProtection="true" borderId="8" fillId="3" fontId="6" numFmtId="167" xfId="23">
      <alignment horizontal="center" indent="0" shrinkToFit="false" textRotation="0" vertical="center" wrapText="true"/>
      <protection hidden="false" locked="true"/>
    </xf>
    <xf applyAlignment="true" applyBorder="true" applyFont="true" applyProtection="true" borderId="7" fillId="8" fontId="6" numFmtId="167" xfId="22">
      <alignment horizontal="center" indent="0" shrinkToFit="false" textRotation="0" vertical="center" wrapText="true"/>
      <protection hidden="false" locked="true"/>
    </xf>
    <xf applyAlignment="true" applyBorder="true" applyFont="true" applyProtection="true" borderId="7" fillId="8" fontId="6" numFmtId="167" xfId="22">
      <alignment horizontal="general" indent="0" shrinkToFit="false" textRotation="0" vertical="center" wrapText="true"/>
      <protection hidden="false" locked="true"/>
    </xf>
    <xf applyAlignment="true" applyBorder="true" applyFont="true" applyProtection="true" borderId="8" fillId="0" fontId="4" numFmtId="164" xfId="0">
      <alignment horizontal="center" indent="0" shrinkToFit="false" textRotation="0" vertical="center" wrapText="true"/>
      <protection hidden="false" locked="true"/>
    </xf>
    <xf applyAlignment="true" applyBorder="true" applyFont="true" applyProtection="true" borderId="8" fillId="0" fontId="4" numFmtId="164" xfId="0">
      <alignment horizontal="general" indent="0" shrinkToFit="false" textRotation="0" vertical="center" wrapText="false"/>
      <protection hidden="false" locked="true"/>
    </xf>
    <xf applyAlignment="true" applyBorder="true" applyFont="true" applyProtection="true" borderId="8" fillId="0" fontId="4" numFmtId="164" xfId="0">
      <alignment horizontal="general" indent="0" shrinkToFit="false" textRotation="0" vertical="center" wrapText="true"/>
      <protection hidden="false" locked="true"/>
    </xf>
    <xf applyAlignment="true" applyBorder="true" applyFont="true" applyProtection="true" borderId="8" fillId="0" fontId="4" numFmtId="168" xfId="23">
      <alignment horizontal="center" indent="0" shrinkToFit="false" textRotation="0" vertical="center" wrapText="true"/>
      <protection hidden="false" locked="true"/>
    </xf>
    <xf applyAlignment="true" applyBorder="true" applyFont="true" applyProtection="true" borderId="8" fillId="0" fontId="4" numFmtId="164" xfId="0">
      <alignment horizontal="center" indent="0" shrinkToFit="false" textRotation="0" vertical="center" wrapText="false"/>
      <protection hidden="false" locked="true"/>
    </xf>
    <xf applyAlignment="true" applyBorder="true" applyFont="true" applyProtection="true" borderId="8" fillId="0" fontId="4" numFmtId="164" xfId="0">
      <alignment horizontal="general" indent="0" shrinkToFit="false" textRotation="0" vertical="center" wrapText="true"/>
      <protection hidden="false" locked="true"/>
    </xf>
    <xf applyAlignment="true" applyBorder="true" applyFont="true" applyProtection="true" borderId="8" fillId="0" fontId="4" numFmtId="167" xfId="0">
      <alignment horizontal="center" indent="0" shrinkToFit="false" textRotation="0" vertical="center" wrapText="false"/>
      <protection hidden="false" locked="true"/>
    </xf>
    <xf applyAlignment="true" applyBorder="true" applyFont="true" applyProtection="true" borderId="8" fillId="0" fontId="4" numFmtId="166" xfId="0">
      <alignment horizontal="center" indent="0" shrinkToFit="false" textRotation="0" vertical="center" wrapText="false"/>
      <protection hidden="false" locked="true"/>
    </xf>
    <xf applyAlignment="true" applyBorder="true" applyFont="true" applyProtection="true" borderId="8" fillId="0" fontId="4" numFmtId="166" xfId="19">
      <alignment horizontal="center" indent="0" shrinkToFit="false" textRotation="0" vertical="center" wrapText="false"/>
      <protection hidden="false" locked="true"/>
    </xf>
    <xf applyAlignment="true" applyBorder="true" applyFont="true" applyProtection="true" borderId="8" fillId="4" fontId="4" numFmtId="167" xfId="0">
      <alignment horizontal="center" indent="0" shrinkToFit="false" textRotation="0" vertical="center" wrapText="false"/>
      <protection hidden="false" locked="true"/>
    </xf>
    <xf applyAlignment="true" applyBorder="true" applyFont="true" applyProtection="true" borderId="8" fillId="9" fontId="4" numFmtId="167" xfId="0">
      <alignment horizontal="center" indent="0" shrinkToFit="false" textRotation="0" vertical="center" wrapText="false"/>
      <protection hidden="false" locked="true"/>
    </xf>
    <xf applyAlignment="true" applyBorder="true" applyFont="true" applyProtection="true" borderId="9" fillId="9" fontId="4" numFmtId="167" xfId="0">
      <alignment horizontal="center" indent="0" shrinkToFit="false" textRotation="0" vertical="center" wrapText="false"/>
      <protection hidden="false" locked="true"/>
    </xf>
    <xf applyAlignment="true" applyBorder="true" applyFont="true" applyProtection="true" borderId="8" fillId="0" fontId="4" numFmtId="169" xfId="0">
      <alignment horizontal="general" indent="0" shrinkToFit="false" textRotation="0" vertical="center" wrapText="false"/>
      <protection hidden="false" locked="true"/>
    </xf>
    <xf applyAlignment="true" applyBorder="true" applyFont="true" applyProtection="true" borderId="8" fillId="9" fontId="4" numFmtId="169" xfId="0">
      <alignment horizontal="general" indent="0" shrinkToFit="false" textRotation="0" vertical="center" wrapText="false"/>
      <protection hidden="false" locked="true"/>
    </xf>
    <xf applyAlignment="true" applyBorder="true" applyFont="true" applyProtection="true" borderId="10" fillId="0" fontId="4" numFmtId="169" xfId="0">
      <alignment horizontal="general" indent="0" shrinkToFit="false" textRotation="0" vertical="center" wrapText="false"/>
      <protection hidden="false" locked="true"/>
    </xf>
    <xf applyAlignment="true" applyBorder="true" applyFont="true" applyProtection="true" borderId="7" fillId="0" fontId="4" numFmtId="169" xfId="0">
      <alignment horizontal="general" indent="0" shrinkToFit="false" textRotation="0" vertical="center" wrapText="false"/>
      <protection hidden="false" locked="true"/>
    </xf>
    <xf applyAlignment="true" applyBorder="true" applyFont="true" applyProtection="true" borderId="7" fillId="0" fontId="4" numFmtId="169" xfId="0">
      <alignment horizontal="general" indent="0" shrinkToFit="false" textRotation="0" vertical="center" wrapText="true"/>
      <protection hidden="false" locked="true"/>
    </xf>
    <xf applyAlignment="true" applyBorder="true" applyFont="true" applyProtection="true" borderId="11" fillId="0" fontId="4" numFmtId="167" xfId="0">
      <alignment horizontal="general" indent="0" shrinkToFit="false" textRotation="0" vertical="center" wrapText="true"/>
      <protection hidden="false" locked="true"/>
    </xf>
    <xf applyAlignment="false" applyBorder="false" applyFont="true" applyProtection="true" borderId="0" fillId="0" fontId="4" numFmtId="164" xfId="0">
      <alignment horizontal="general" indent="0" shrinkToFit="false" textRotation="0" vertical="bottom" wrapText="false"/>
      <protection hidden="false" locked="false"/>
    </xf>
    <xf applyAlignment="true" applyBorder="true" applyFont="true" applyProtection="true" borderId="8" fillId="10" fontId="4" numFmtId="167" xfId="0">
      <alignment horizontal="center" indent="0" shrinkToFit="false" textRotation="0" vertical="center" wrapText="false"/>
      <protection hidden="false" locked="true"/>
    </xf>
    <xf applyAlignment="true" applyBorder="true" applyFont="true" applyProtection="true" borderId="8" fillId="4" fontId="4" numFmtId="164" xfId="0">
      <alignment horizontal="center" indent="0" shrinkToFit="false" textRotation="0" vertical="center" wrapText="false"/>
      <protection hidden="false" locked="true"/>
    </xf>
    <xf applyAlignment="true" applyBorder="true" applyFont="true" applyProtection="true" borderId="11" fillId="0" fontId="4" numFmtId="169" xfId="0">
      <alignment horizontal="general" indent="0" shrinkToFit="false" textRotation="0" vertical="center" wrapText="false"/>
      <protection hidden="false" locked="true"/>
    </xf>
    <xf applyAlignment="true" applyBorder="true" applyFont="true" applyProtection="true" borderId="12" fillId="0" fontId="4" numFmtId="164" xfId="0">
      <alignment horizontal="general" indent="0" shrinkToFit="false" textRotation="0" vertical="center" wrapText="true"/>
      <protection hidden="false" locked="true"/>
    </xf>
    <xf applyAlignment="true" applyBorder="true" applyFont="true" applyProtection="true" borderId="7" fillId="0" fontId="4" numFmtId="164" xfId="0">
      <alignment horizontal="general" indent="0" shrinkToFit="false" textRotation="0" vertical="center" wrapText="true"/>
      <protection hidden="false" locked="true"/>
    </xf>
    <xf applyAlignment="true" applyBorder="true" applyFont="true" applyProtection="true" borderId="7" fillId="0" fontId="4" numFmtId="164" xfId="0">
      <alignment horizontal="general" indent="0" shrinkToFit="false" textRotation="0" vertical="center" wrapText="false"/>
      <protection hidden="false" locked="true"/>
    </xf>
    <xf applyAlignment="true" applyBorder="true" applyFont="true" applyProtection="true" borderId="7" fillId="0" fontId="4" numFmtId="166" xfId="0">
      <alignment horizontal="center" indent="0" shrinkToFit="false" textRotation="0" vertical="center" wrapText="false"/>
      <protection hidden="false" locked="true"/>
    </xf>
    <xf applyAlignment="true" applyBorder="true" applyFont="true" applyProtection="true" borderId="7" fillId="0" fontId="4" numFmtId="166" xfId="19">
      <alignment horizontal="center" indent="0" shrinkToFit="false" textRotation="0" vertical="center" wrapText="false"/>
      <protection hidden="false" locked="true"/>
    </xf>
    <xf applyAlignment="true" applyBorder="true" applyFont="true" applyProtection="true" borderId="7" fillId="0" fontId="4" numFmtId="164" xfId="0">
      <alignment horizontal="center" indent="0" shrinkToFit="false" textRotation="0" vertical="center" wrapText="false"/>
      <protection hidden="false" locked="true"/>
    </xf>
    <xf applyAlignment="true" applyBorder="true" applyFont="true" applyProtection="true" borderId="7" fillId="0" fontId="4" numFmtId="167" xfId="0">
      <alignment horizontal="center" indent="0" shrinkToFit="false" textRotation="0" vertical="center" wrapText="false"/>
      <protection hidden="false" locked="true"/>
    </xf>
    <xf applyAlignment="true" applyBorder="true" applyFont="true" applyProtection="true" borderId="7" fillId="4" fontId="4" numFmtId="167" xfId="0">
      <alignment horizontal="center" indent="0" shrinkToFit="false" textRotation="0" vertical="center" wrapText="false"/>
      <protection hidden="false" locked="true"/>
    </xf>
    <xf applyAlignment="true" applyBorder="true" applyFont="true" applyProtection="true" borderId="7" fillId="9" fontId="4" numFmtId="167" xfId="0">
      <alignment horizontal="center" indent="0" shrinkToFit="false" textRotation="0" vertical="center" wrapText="false"/>
      <protection hidden="false" locked="true"/>
    </xf>
    <xf applyAlignment="true" applyBorder="true" applyFont="true" applyProtection="true" borderId="13" fillId="0" fontId="4" numFmtId="167" xfId="0">
      <alignment horizontal="center" indent="0" shrinkToFit="false" textRotation="0" vertical="center" wrapText="false"/>
      <protection hidden="false" locked="true"/>
    </xf>
    <xf applyAlignment="true" applyBorder="true" applyFont="true" applyProtection="true" borderId="14" fillId="9" fontId="4" numFmtId="167" xfId="0">
      <alignment horizontal="center" indent="0" shrinkToFit="false" textRotation="0" vertical="center" wrapText="false"/>
      <protection hidden="false" locked="true"/>
    </xf>
    <xf applyAlignment="true" applyBorder="true" applyFont="true" applyProtection="true" borderId="7" fillId="9" fontId="4" numFmtId="169" xfId="0">
      <alignment horizontal="general" indent="0" shrinkToFit="false" textRotation="0" vertical="center" wrapText="false"/>
      <protection hidden="false" locked="true"/>
    </xf>
    <xf applyAlignment="true" applyBorder="true" applyFont="true" applyProtection="true" borderId="7" fillId="0" fontId="4" numFmtId="167" xfId="0">
      <alignment horizontal="general" indent="0" shrinkToFit="false" textRotation="0" vertical="center" wrapText="true"/>
      <protection hidden="false" locked="true"/>
    </xf>
    <xf applyAlignment="true" applyBorder="true" applyFont="true" applyProtection="true" borderId="15" fillId="0" fontId="4" numFmtId="164" xfId="0">
      <alignment horizontal="general" indent="0" shrinkToFit="false" textRotation="0" vertical="center" wrapText="true"/>
      <protection hidden="false" locked="true"/>
    </xf>
    <xf applyAlignment="true" applyBorder="true" applyFont="true" applyProtection="true" borderId="15" fillId="0" fontId="4" numFmtId="164" xfId="0">
      <alignment horizontal="general" indent="0" shrinkToFit="false" textRotation="0" vertical="center" wrapText="false"/>
      <protection hidden="false" locked="true"/>
    </xf>
    <xf applyAlignment="true" applyBorder="true" applyFont="true" applyProtection="true" borderId="15" fillId="0" fontId="4" numFmtId="166" xfId="0">
      <alignment horizontal="center" indent="0" shrinkToFit="false" textRotation="0" vertical="center" wrapText="false"/>
      <protection hidden="false" locked="true"/>
    </xf>
    <xf applyAlignment="true" applyBorder="true" applyFont="true" applyProtection="true" borderId="15" fillId="0" fontId="4" numFmtId="166" xfId="19">
      <alignment horizontal="center" indent="0" shrinkToFit="false" textRotation="0" vertical="center" wrapText="false"/>
      <protection hidden="false" locked="true"/>
    </xf>
    <xf applyAlignment="true" applyBorder="true" applyFont="true" applyProtection="true" borderId="15" fillId="0" fontId="4" numFmtId="164" xfId="0">
      <alignment horizontal="center" indent="0" shrinkToFit="false" textRotation="0" vertical="center" wrapText="false"/>
      <protection hidden="false" locked="true"/>
    </xf>
    <xf applyAlignment="true" applyBorder="true" applyFont="true" applyProtection="true" borderId="15" fillId="0" fontId="4" numFmtId="167" xfId="0">
      <alignment horizontal="center" indent="0" shrinkToFit="false" textRotation="0" vertical="center" wrapText="false"/>
      <protection hidden="false" locked="true"/>
    </xf>
    <xf applyAlignment="true" applyBorder="true" applyFont="true" applyProtection="true" borderId="15" fillId="4" fontId="4" numFmtId="167" xfId="0">
      <alignment horizontal="center" indent="0" shrinkToFit="false" textRotation="0" vertical="center" wrapText="false"/>
      <protection hidden="false" locked="true"/>
    </xf>
    <xf applyAlignment="true" applyBorder="true" applyFont="true" applyProtection="true" borderId="15" fillId="9" fontId="4" numFmtId="167" xfId="0">
      <alignment horizontal="center" indent="0" shrinkToFit="false" textRotation="0" vertical="center" wrapText="false"/>
      <protection hidden="false" locked="true"/>
    </xf>
    <xf applyAlignment="true" applyBorder="true" applyFont="true" applyProtection="true" borderId="16" fillId="0" fontId="4" numFmtId="167" xfId="0">
      <alignment horizontal="center" indent="0" shrinkToFit="false" textRotation="0" vertical="center" wrapText="false"/>
      <protection hidden="false" locked="true"/>
    </xf>
    <xf applyAlignment="true" applyBorder="true" applyFont="true" applyProtection="true" borderId="17" fillId="9" fontId="4" numFmtId="167" xfId="0">
      <alignment horizontal="center" indent="0" shrinkToFit="false" textRotation="0" vertical="center" wrapText="false"/>
      <protection hidden="false" locked="true"/>
    </xf>
    <xf applyAlignment="true" applyBorder="true" applyFont="true" applyProtection="true" borderId="15" fillId="0" fontId="4" numFmtId="169" xfId="0">
      <alignment horizontal="general" indent="0" shrinkToFit="false" textRotation="0" vertical="center" wrapText="false"/>
      <protection hidden="false" locked="true"/>
    </xf>
    <xf applyAlignment="true" applyBorder="true" applyFont="true" applyProtection="true" borderId="15" fillId="9" fontId="4" numFmtId="169" xfId="0">
      <alignment horizontal="general" indent="0" shrinkToFit="false" textRotation="0" vertical="center" wrapText="false"/>
      <protection hidden="false" locked="true"/>
    </xf>
    <xf applyAlignment="true" applyBorder="true" applyFont="true" applyProtection="true" borderId="18" fillId="0" fontId="4" numFmtId="169" xfId="0">
      <alignment horizontal="general" indent="0" shrinkToFit="false" textRotation="0" vertical="center" wrapText="false"/>
      <protection hidden="false" locked="true"/>
    </xf>
    <xf applyAlignment="true" applyBorder="true" applyFont="true" applyProtection="true" borderId="19" fillId="0" fontId="4" numFmtId="169" xfId="0">
      <alignment horizontal="general" indent="0" shrinkToFit="false" textRotation="0" vertical="center" wrapText="false"/>
      <protection hidden="false" locked="true"/>
    </xf>
    <xf applyAlignment="true" applyBorder="true" applyFont="true" applyProtection="true" borderId="20" fillId="9" fontId="4" numFmtId="167" xfId="0">
      <alignment horizontal="center" indent="0" shrinkToFit="false" textRotation="0" vertical="center" wrapText="false"/>
      <protection hidden="false" locked="true"/>
    </xf>
    <xf applyAlignment="true" applyBorder="false" applyFont="true" applyProtection="true" borderId="0" fillId="0" fontId="8" numFmtId="169" xfId="0">
      <alignment horizontal="center" indent="0" shrinkToFit="false" textRotation="0" vertical="center" wrapText="false"/>
      <protection hidden="false" locked="false"/>
    </xf>
    <xf applyAlignment="true" applyBorder="true" applyFont="true" applyProtection="true" borderId="8" fillId="0" fontId="4" numFmtId="169" xfId="21">
      <alignment horizontal="general" indent="0" shrinkToFit="false" textRotation="0" vertical="center" wrapText="false"/>
      <protection hidden="false" locked="true"/>
    </xf>
    <xf applyAlignment="true" applyBorder="true" applyFont="true" applyProtection="true" borderId="7" fillId="0" fontId="8" numFmtId="170" xfId="25">
      <alignment horizontal="right" indent="0" shrinkToFit="false" textRotation="0" vertical="center" wrapText="false"/>
      <protection hidden="false" locked="false"/>
    </xf>
    <xf applyAlignment="true" applyBorder="true" applyFont="true" applyProtection="true" borderId="8" fillId="0" fontId="4" numFmtId="171" xfId="0">
      <alignment horizontal="center" indent="0" shrinkToFit="false" textRotation="0" vertical="center" wrapText="false"/>
      <protection hidden="false" locked="true"/>
    </xf>
    <xf applyAlignment="true" applyBorder="true" applyFont="true" applyProtection="true" borderId="8" fillId="0" fontId="4" numFmtId="172" xfId="0">
      <alignment horizontal="center" indent="0" shrinkToFit="false" textRotation="0" vertical="center" wrapText="false"/>
      <protection hidden="false" locked="true"/>
    </xf>
    <xf applyAlignment="true" applyBorder="true" applyFont="true" applyProtection="true" borderId="12" fillId="4" fontId="4" numFmtId="172" xfId="0">
      <alignment horizontal="center" indent="0" shrinkToFit="false" textRotation="0" vertical="center" wrapText="false"/>
      <protection hidden="false" locked="true"/>
    </xf>
    <xf applyAlignment="true" applyBorder="true" applyFont="true" applyProtection="true" borderId="7" fillId="9" fontId="4" numFmtId="171" xfId="0">
      <alignment horizontal="center" indent="0" shrinkToFit="false" textRotation="0" vertical="center" wrapText="false"/>
      <protection hidden="false" locked="true"/>
    </xf>
    <xf applyAlignment="true" applyBorder="true" applyFont="true" applyProtection="true" borderId="21" fillId="0" fontId="4" numFmtId="167" xfId="0">
      <alignment horizontal="center" indent="0" shrinkToFit="false" textRotation="0" vertical="center" wrapText="false"/>
      <protection hidden="false" locked="true"/>
    </xf>
    <xf applyAlignment="true" applyBorder="true" applyFont="true" applyProtection="true" borderId="8" fillId="4" fontId="4" numFmtId="172" xfId="0">
      <alignment horizontal="center" indent="0" shrinkToFit="false" textRotation="0" vertical="center" wrapText="false"/>
      <protection hidden="false" locked="true"/>
    </xf>
    <xf applyAlignment="true" applyBorder="true" applyFont="true" applyProtection="true" borderId="9" fillId="9" fontId="4" numFmtId="172" xfId="0">
      <alignment horizontal="center" indent="0" shrinkToFit="false" textRotation="0" vertical="center" wrapText="false"/>
      <protection hidden="false" locked="true"/>
    </xf>
    <xf applyAlignment="true" applyBorder="true" applyFont="true" applyProtection="true" borderId="8" fillId="0" fontId="4" numFmtId="169" xfId="0">
      <alignment horizontal="general" indent="0" shrinkToFit="false" textRotation="0" vertical="center" wrapText="true"/>
      <protection hidden="false" locked="true"/>
    </xf>
    <xf applyAlignment="true" applyBorder="false" applyFont="true" applyProtection="false" borderId="0" fillId="9" fontId="8" numFmtId="167" xfId="0">
      <alignment horizontal="center" indent="0" shrinkToFit="false" textRotation="0" vertical="center" wrapText="false"/>
      <protection hidden="false" locked="true"/>
    </xf>
    <xf applyAlignment="true" applyBorder="true" applyFont="true" applyProtection="true" borderId="8" fillId="11" fontId="4" numFmtId="164" xfId="0">
      <alignment horizontal="general" indent="0" shrinkToFit="false" textRotation="0" vertical="center" wrapText="false"/>
      <protection hidden="false" locked="true"/>
    </xf>
    <xf applyAlignment="true" applyBorder="true" applyFont="true" applyProtection="true" borderId="8" fillId="4" fontId="4" numFmtId="164" xfId="0">
      <alignment horizontal="general" indent="0" shrinkToFit="false" textRotation="0" vertical="center" wrapText="true"/>
      <protection hidden="false" locked="true"/>
    </xf>
    <xf applyAlignment="true" applyBorder="true" applyFont="true" applyProtection="true" borderId="9" fillId="12" fontId="4" numFmtId="167" xfId="0">
      <alignment horizontal="center" indent="0" shrinkToFit="false" textRotation="0" vertical="center" wrapText="false"/>
      <protection hidden="false" locked="true"/>
    </xf>
    <xf applyAlignment="true" applyBorder="true" applyFont="true" applyProtection="true" borderId="7" fillId="0" fontId="4" numFmtId="164" xfId="0">
      <alignment horizontal="center" indent="0" shrinkToFit="false" textRotation="0" vertical="center" wrapText="true"/>
      <protection hidden="false" locked="true"/>
    </xf>
    <xf applyAlignment="true" applyBorder="true" applyFont="true" applyProtection="true" borderId="7" fillId="0" fontId="4" numFmtId="164" xfId="0">
      <alignment horizontal="general" indent="0" shrinkToFit="false" textRotation="0" vertical="center" wrapText="true"/>
      <protection hidden="false" locked="true"/>
    </xf>
    <xf applyAlignment="true" applyBorder="true" applyFont="true" applyProtection="true" borderId="7" fillId="0" fontId="4" numFmtId="168" xfId="23">
      <alignment horizontal="center" indent="0" shrinkToFit="false" textRotation="0" vertical="center" wrapText="true"/>
      <protection hidden="false" locked="true"/>
    </xf>
    <xf applyAlignment="true" applyBorder="true" applyFont="true" applyProtection="true" borderId="7" fillId="0" fontId="4" numFmtId="172" xfId="0">
      <alignment horizontal="center" indent="0" shrinkToFit="false" textRotation="0" vertical="center" wrapText="false"/>
      <protection hidden="false" locked="true"/>
    </xf>
    <xf applyAlignment="true" applyBorder="true" applyFont="true" applyProtection="true" borderId="0" fillId="2" fontId="6" numFmtId="164" xfId="24">
      <alignment horizontal="center" indent="0" shrinkToFit="false" textRotation="0" vertical="center" wrapText="true"/>
      <protection hidden="false" locked="true"/>
    </xf>
    <xf applyAlignment="true" applyBorder="true" applyFont="true" applyProtection="true" borderId="2" fillId="2" fontId="13" numFmtId="164" xfId="22">
      <alignment horizontal="center" indent="0" shrinkToFit="false" textRotation="0" vertical="center" wrapText="true"/>
      <protection hidden="false" locked="true"/>
    </xf>
    <xf applyAlignment="true" applyBorder="true" applyFont="true" applyProtection="true" borderId="5" fillId="2" fontId="13" numFmtId="164" xfId="24">
      <alignment horizontal="center" indent="0" shrinkToFit="false" textRotation="0" vertical="center" wrapText="true"/>
      <protection hidden="false" locked="true"/>
    </xf>
    <xf applyAlignment="true" applyBorder="true" applyFont="true" applyProtection="true" borderId="6" fillId="2" fontId="13" numFmtId="164" xfId="24">
      <alignment horizontal="center" indent="0" shrinkToFit="false" textRotation="0" vertical="center" wrapText="true"/>
      <protection hidden="false" locked="true"/>
    </xf>
    <xf applyAlignment="true" applyBorder="true" applyFont="true" applyProtection="true" borderId="7" fillId="5" fontId="13" numFmtId="164" xfId="22">
      <alignment horizontal="center" indent="0" shrinkToFit="false" textRotation="0" vertical="center" wrapText="true"/>
      <protection hidden="false" locked="true"/>
    </xf>
    <xf applyAlignment="true" applyBorder="true" applyFont="true" applyProtection="true" borderId="7" fillId="6" fontId="13" numFmtId="164" xfId="22">
      <alignment horizontal="center" indent="0" shrinkToFit="false" textRotation="0" vertical="center" wrapText="true"/>
      <protection hidden="false" locked="true"/>
    </xf>
    <xf applyAlignment="true" applyBorder="true" applyFont="true" applyProtection="true" borderId="8" fillId="2" fontId="13" numFmtId="164" xfId="22">
      <alignment horizontal="center" indent="0" shrinkToFit="false" textRotation="0" vertical="center" wrapText="true"/>
      <protection hidden="false" locked="true"/>
    </xf>
    <xf applyAlignment="true" applyBorder="true" applyFont="true" applyProtection="true" borderId="8" fillId="2" fontId="13" numFmtId="167" xfId="22">
      <alignment horizontal="center" indent="0" shrinkToFit="false" textRotation="0" vertical="center" wrapText="true"/>
      <protection hidden="false" locked="true"/>
    </xf>
    <xf applyAlignment="true" applyBorder="true" applyFont="true" applyProtection="true" borderId="8" fillId="2" fontId="13" numFmtId="164" xfId="22">
      <alignment horizontal="center" indent="0" shrinkToFit="false" textRotation="0" vertical="center" wrapText="true"/>
      <protection hidden="false" locked="true"/>
    </xf>
    <xf applyAlignment="true" applyBorder="true" applyFont="true" applyProtection="true" borderId="8" fillId="3" fontId="13" numFmtId="164" xfId="22">
      <alignment horizontal="center" indent="0" shrinkToFit="false" textRotation="0" vertical="center" wrapText="true"/>
      <protection hidden="false" locked="true"/>
    </xf>
    <xf applyAlignment="true" applyBorder="true" applyFont="true" applyProtection="false" borderId="7" fillId="0" fontId="14" numFmtId="164" xfId="21">
      <alignment horizontal="center" indent="0" shrinkToFit="false" textRotation="0" vertical="center" wrapText="true"/>
      <protection hidden="false" locked="true"/>
    </xf>
  </cellXfs>
  <cellStyles count="12">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Millares 2" xfId="20"/>
    <cellStyle builtinId="54" customBuiltin="true" name="Normal 13" xfId="21"/>
    <cellStyle builtinId="54" customBuiltin="true" name="Normal 2" xfId="22"/>
    <cellStyle builtinId="54" customBuiltin="true" name="Normal 2 10" xfId="23"/>
    <cellStyle builtinId="54" customBuiltin="true" name="TableStyleLight1" xfId="24"/>
    <cellStyle builtinId="54" customBuiltin="true" name="Excel Built-in Comma [0]" xfId="2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376091"/>
      <rgbColor rgb="FFB4C7E7"/>
      <rgbColor rgb="FF808080"/>
      <rgbColor rgb="FF9999FF"/>
      <rgbColor rgb="FF993366"/>
      <rgbColor rgb="FFFFFFCC"/>
      <rgbColor rgb="FFCCFFFF"/>
      <rgbColor rgb="FF660066"/>
      <rgbColor rgb="FFFF8080"/>
      <rgbColor rgb="FF2E75B6"/>
      <rgbColor rgb="FFDBDB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4472C4"/>
      <rgbColor rgb="FF33CCCC"/>
      <rgbColor rgb="FF99CC00"/>
      <rgbColor rgb="FFFFCC00"/>
      <rgbColor rgb="FFFF9900"/>
      <rgbColor rgb="FFED7D31"/>
      <rgbColor rgb="FF595959"/>
      <rgbColor rgb="FFA5A5A5"/>
      <rgbColor rgb="FF1F4E79"/>
      <rgbColor rgb="FF339966"/>
      <rgbColor rgb="FF1A1A1A"/>
      <rgbColor rgb="FF333300"/>
      <rgbColor rgb="FF993300"/>
      <rgbColor rgb="FF993366"/>
      <rgbColor rgb="FF254061"/>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E73"/>
  <sheetViews>
    <sheetView colorId="64" defaultGridColor="true" rightToLeft="false" showFormulas="false" showGridLines="true" showOutlineSymbols="true" showRowColHeaders="true" showZeros="true" tabSelected="false" topLeftCell="D1" view="normal" windowProtection="false" workbookViewId="0" zoomScale="100" zoomScaleNormal="100" zoomScalePageLayoutView="100">
      <selection activeCell="D1" activeCellId="0" pane="topLeft" sqref="D1"/>
    </sheetView>
  </sheetViews>
  <sheetFormatPr defaultRowHeight="12.75"/>
  <cols>
    <col collapsed="false" hidden="true" max="1" min="1" style="1" width="0"/>
    <col collapsed="false" hidden="true" max="2" min="2" style="2" width="0"/>
    <col collapsed="false" hidden="true" max="3" min="3" style="1" width="0"/>
    <col collapsed="false" hidden="false" max="4" min="4" style="3" width="10.995951417004"/>
    <col collapsed="false" hidden="true" max="5" min="5" style="1" width="0"/>
    <col collapsed="false" hidden="true" max="6" min="6" style="3" width="0"/>
    <col collapsed="false" hidden="false" max="7" min="7" style="4" width="10.995951417004"/>
    <col collapsed="false" hidden="false" max="8" min="8" style="5" width="10.995951417004"/>
    <col collapsed="false" hidden="true" max="9" min="9" style="6" width="0"/>
    <col collapsed="false" hidden="false" max="10" min="10" style="7" width="10.995951417004"/>
    <col collapsed="false" hidden="false" max="11" min="11" style="6" width="10.995951417004"/>
    <col collapsed="false" hidden="false" max="12" min="12" style="7" width="10.995951417004"/>
    <col collapsed="false" hidden="true" max="13" min="13" style="6" width="0"/>
    <col collapsed="false" hidden="true" max="14" min="14" style="7" width="0"/>
    <col collapsed="false" hidden="true" max="15" min="15" style="8" width="0"/>
    <col collapsed="false" hidden="true" max="18" min="16" style="4" width="0"/>
    <col collapsed="false" hidden="true" max="19" min="19" style="7" width="0"/>
    <col collapsed="false" hidden="false" max="20" min="20" style="6" width="10.995951417004"/>
    <col collapsed="false" hidden="true" max="26" min="21" style="6" width="0"/>
    <col collapsed="false" hidden="true" max="53" min="27" style="8" width="0"/>
    <col collapsed="false" hidden="true" max="54" min="54" style="9" width="0"/>
    <col collapsed="false" hidden="true" max="55" min="55" style="8" width="0"/>
    <col collapsed="false" hidden="true" max="57" min="56" style="2" width="0"/>
    <col collapsed="false" hidden="false" max="256" min="58" style="2" width="10.995951417004"/>
    <col collapsed="false" hidden="true" max="259" min="257" style="2" width="0"/>
    <col collapsed="false" hidden="false" max="260" min="260" style="2" width="10.995951417004"/>
    <col collapsed="false" hidden="true" max="262" min="261" style="2" width="0"/>
    <col collapsed="false" hidden="false" max="264" min="263" style="2" width="10.995951417004"/>
    <col collapsed="false" hidden="true" max="265" min="265" style="2" width="0"/>
    <col collapsed="false" hidden="false" max="268" min="266" style="2" width="10.995951417004"/>
    <col collapsed="false" hidden="true" max="275" min="269" style="2" width="0"/>
    <col collapsed="false" hidden="false" max="276" min="276" style="2" width="10.995951417004"/>
    <col collapsed="false" hidden="true" max="313" min="277" style="2" width="0"/>
    <col collapsed="false" hidden="false" max="512" min="314" style="2" width="10.995951417004"/>
    <col collapsed="false" hidden="true" max="515" min="513" style="2" width="0"/>
    <col collapsed="false" hidden="false" max="516" min="516" style="2" width="10.995951417004"/>
    <col collapsed="false" hidden="true" max="518" min="517" style="2" width="0"/>
    <col collapsed="false" hidden="false" max="520" min="519" style="2" width="10.995951417004"/>
    <col collapsed="false" hidden="true" max="521" min="521" style="2" width="0"/>
    <col collapsed="false" hidden="false" max="524" min="522" style="2" width="10.995951417004"/>
    <col collapsed="false" hidden="true" max="531" min="525" style="2" width="0"/>
    <col collapsed="false" hidden="false" max="532" min="532" style="2" width="10.995951417004"/>
    <col collapsed="false" hidden="true" max="569" min="533" style="2" width="0"/>
    <col collapsed="false" hidden="false" max="768" min="570" style="2" width="10.995951417004"/>
    <col collapsed="false" hidden="true" max="771" min="769" style="2" width="0"/>
    <col collapsed="false" hidden="false" max="772" min="772" style="2" width="10.995951417004"/>
    <col collapsed="false" hidden="true" max="774" min="773" style="2" width="0"/>
    <col collapsed="false" hidden="false" max="776" min="775" style="2" width="10.995951417004"/>
    <col collapsed="false" hidden="true" max="777" min="777" style="2" width="0"/>
    <col collapsed="false" hidden="false" max="780" min="778" style="2" width="10.995951417004"/>
    <col collapsed="false" hidden="true" max="787" min="781" style="2" width="0"/>
    <col collapsed="false" hidden="false" max="788" min="788" style="2" width="10.995951417004"/>
    <col collapsed="false" hidden="true" max="825" min="789" style="2" width="0"/>
    <col collapsed="false" hidden="false" max="1025" min="826" style="2" width="10.995951417004"/>
  </cols>
  <sheetData>
    <row collapsed="false" customFormat="true" customHeight="true" hidden="false" ht="23.25" outlineLevel="0" r="1" s="19">
      <c r="A1" s="10" t="s">
        <v>0</v>
      </c>
      <c r="B1" s="10"/>
      <c r="C1" s="10"/>
      <c r="D1" s="10"/>
      <c r="E1" s="10"/>
      <c r="F1" s="10"/>
      <c r="G1" s="10"/>
      <c r="H1" s="10"/>
      <c r="I1" s="10"/>
      <c r="J1" s="10"/>
      <c r="K1" s="10"/>
      <c r="L1" s="10"/>
      <c r="M1" s="10"/>
      <c r="N1" s="10"/>
      <c r="O1" s="10"/>
      <c r="P1" s="10"/>
      <c r="Q1" s="10"/>
      <c r="R1" s="10"/>
      <c r="S1" s="10"/>
      <c r="T1" s="11" t="s">
        <v>1</v>
      </c>
      <c r="U1" s="11"/>
      <c r="V1" s="11"/>
      <c r="W1" s="11"/>
      <c r="X1" s="11"/>
      <c r="Y1" s="11"/>
      <c r="Z1" s="11"/>
      <c r="AA1" s="12" t="s">
        <v>2</v>
      </c>
      <c r="AB1" s="12"/>
      <c r="AC1" s="12"/>
      <c r="AD1" s="12"/>
      <c r="AE1" s="12"/>
      <c r="AF1" s="13" t="s">
        <v>3</v>
      </c>
      <c r="AG1" s="13"/>
      <c r="AH1" s="13"/>
      <c r="AI1" s="13"/>
      <c r="AJ1" s="13"/>
      <c r="AK1" s="12" t="s">
        <v>4</v>
      </c>
      <c r="AL1" s="12"/>
      <c r="AM1" s="12"/>
      <c r="AN1" s="12"/>
      <c r="AO1" s="12"/>
      <c r="AP1" s="14" t="s">
        <v>5</v>
      </c>
      <c r="AQ1" s="14"/>
      <c r="AR1" s="14"/>
      <c r="AS1" s="14"/>
      <c r="AT1" s="14"/>
      <c r="AU1" s="15" t="s">
        <v>6</v>
      </c>
      <c r="AV1" s="15"/>
      <c r="AW1" s="15"/>
      <c r="AX1" s="15"/>
      <c r="AY1" s="15"/>
      <c r="AZ1" s="16" t="s">
        <v>7</v>
      </c>
      <c r="BA1" s="16"/>
      <c r="BB1" s="17"/>
      <c r="BC1" s="18"/>
    </row>
    <row collapsed="false" customFormat="true" customHeight="true" hidden="false" ht="54" outlineLevel="0" r="2" s="19">
      <c r="A2" s="18" t="s">
        <v>8</v>
      </c>
      <c r="B2" s="18" t="s">
        <v>9</v>
      </c>
      <c r="C2" s="20" t="s">
        <v>10</v>
      </c>
      <c r="D2" s="18" t="s">
        <v>11</v>
      </c>
      <c r="E2" s="20" t="s">
        <v>12</v>
      </c>
      <c r="F2" s="18" t="s">
        <v>13</v>
      </c>
      <c r="G2" s="20" t="s">
        <v>14</v>
      </c>
      <c r="H2" s="20" t="s">
        <v>15</v>
      </c>
      <c r="I2" s="21" t="s">
        <v>16</v>
      </c>
      <c r="J2" s="21" t="s">
        <v>17</v>
      </c>
      <c r="K2" s="22" t="s">
        <v>18</v>
      </c>
      <c r="L2" s="23" t="s">
        <v>19</v>
      </c>
      <c r="M2" s="23" t="s">
        <v>20</v>
      </c>
      <c r="N2" s="24" t="s">
        <v>21</v>
      </c>
      <c r="O2" s="25" t="s">
        <v>22</v>
      </c>
      <c r="P2" s="26" t="s">
        <v>23</v>
      </c>
      <c r="Q2" s="26" t="s">
        <v>24</v>
      </c>
      <c r="R2" s="26" t="s">
        <v>25</v>
      </c>
      <c r="S2" s="26" t="s">
        <v>26</v>
      </c>
      <c r="T2" s="27" t="s">
        <v>27</v>
      </c>
      <c r="U2" s="27" t="s">
        <v>28</v>
      </c>
      <c r="V2" s="27" t="s">
        <v>29</v>
      </c>
      <c r="W2" s="26" t="s">
        <v>30</v>
      </c>
      <c r="X2" s="27" t="s">
        <v>31</v>
      </c>
      <c r="Y2" s="26" t="s">
        <v>32</v>
      </c>
      <c r="Z2" s="26" t="s">
        <v>33</v>
      </c>
      <c r="AA2" s="28" t="n">
        <v>2013</v>
      </c>
      <c r="AB2" s="28" t="n">
        <v>2014</v>
      </c>
      <c r="AC2" s="28" t="n">
        <v>2015</v>
      </c>
      <c r="AD2" s="28" t="n">
        <v>2016</v>
      </c>
      <c r="AE2" s="28" t="s">
        <v>34</v>
      </c>
      <c r="AF2" s="25" t="n">
        <v>2013</v>
      </c>
      <c r="AG2" s="29" t="n">
        <v>2014</v>
      </c>
      <c r="AH2" s="30" t="n">
        <v>2015</v>
      </c>
      <c r="AI2" s="25" t="n">
        <v>2016</v>
      </c>
      <c r="AJ2" s="29" t="s">
        <v>35</v>
      </c>
      <c r="AK2" s="31" t="n">
        <v>2013</v>
      </c>
      <c r="AL2" s="31" t="n">
        <v>2014</v>
      </c>
      <c r="AM2" s="28" t="n">
        <v>2015</v>
      </c>
      <c r="AN2" s="28" t="n">
        <v>2016</v>
      </c>
      <c r="AO2" s="28" t="s">
        <v>36</v>
      </c>
      <c r="AP2" s="25" t="n">
        <v>2013</v>
      </c>
      <c r="AQ2" s="29" t="n">
        <v>2014</v>
      </c>
      <c r="AR2" s="30" t="n">
        <v>2015</v>
      </c>
      <c r="AS2" s="25" t="n">
        <v>2016</v>
      </c>
      <c r="AT2" s="25" t="s">
        <v>37</v>
      </c>
      <c r="AU2" s="28" t="n">
        <v>2013</v>
      </c>
      <c r="AV2" s="31" t="n">
        <v>2014</v>
      </c>
      <c r="AW2" s="28" t="n">
        <v>2015</v>
      </c>
      <c r="AX2" s="28" t="n">
        <v>2016</v>
      </c>
      <c r="AY2" s="28" t="s">
        <v>38</v>
      </c>
      <c r="AZ2" s="32" t="s">
        <v>39</v>
      </c>
      <c r="BA2" s="32" t="s">
        <v>40</v>
      </c>
      <c r="BB2" s="33" t="s">
        <v>41</v>
      </c>
      <c r="BC2" s="25" t="s">
        <v>42</v>
      </c>
    </row>
    <row collapsed="false" customFormat="true" customHeight="true" hidden="false" ht="37.5" outlineLevel="0" r="3" s="52">
      <c r="A3" s="34" t="n">
        <f aca="false">VLOOKUP(B3,['file:///Users/user/Downloads/10. MUSI BOSA CORTE 31 DE DICIEMBRE 2016_INSUMO CONTRALORIA.xls']Hoja2!$B$47:$C$66,2,0)</f>
        <v>7</v>
      </c>
      <c r="B3" s="35" t="s">
        <v>43</v>
      </c>
      <c r="C3" s="34" t="n">
        <f aca="false">VLOOKUP(D3,['file:///Users/user/Downloads/10. MUSI BOSA CORTE 31 DE DICIEMBRE 2016_INSUMO CONTRALORIA.xls']Hoja2!$B$8:$C$10,2,0)</f>
        <v>1</v>
      </c>
      <c r="D3" s="36" t="s">
        <v>44</v>
      </c>
      <c r="E3" s="34" t="n">
        <f aca="false">VLOOKUP(F3,['file:///Users/user/Downloads/10. MUSI BOSA CORTE 31 DE DICIEMBRE 2016_INSUMO CONTRALORIA.xls']Hoja2!$B$12:$C$40,2,0)</f>
        <v>1</v>
      </c>
      <c r="F3" s="36" t="s">
        <v>45</v>
      </c>
      <c r="G3" s="37" t="n">
        <v>324</v>
      </c>
      <c r="H3" s="36" t="s">
        <v>46</v>
      </c>
      <c r="I3" s="38" t="n">
        <f aca="false">VLOOKUP(J3,['file:///Users/user/Downloads/10. MUSI BOSA CORTE 31 DE DICIEMBRE 2016_INSUMO CONTRALORIA.xls']Hoja1!$D$81:$G$158,2,0)</f>
        <v>2</v>
      </c>
      <c r="J3" s="39" t="s">
        <v>47</v>
      </c>
      <c r="K3" s="38" t="n">
        <v>1243</v>
      </c>
      <c r="L3" s="39" t="s">
        <v>48</v>
      </c>
      <c r="M3" s="38" t="n">
        <v>1</v>
      </c>
      <c r="N3" s="39" t="s">
        <v>49</v>
      </c>
      <c r="O3" s="40" t="n">
        <v>80</v>
      </c>
      <c r="P3" s="36" t="s">
        <v>50</v>
      </c>
      <c r="Q3" s="36" t="s">
        <v>51</v>
      </c>
      <c r="R3" s="39" t="str">
        <f aca="false">VLOOKUP(J3,['file:///Users/user/Downloads/10. MUSI BOSA CORTE 31 DE DICIEMBRE 2016_INSUMO CONTRALORIA.xls']Hoja1!$D$81:$G$158,4,0)</f>
        <v>10. SDIS</v>
      </c>
      <c r="S3" s="39" t="str">
        <f aca="false">VLOOKUP(J3,['file:///Users/user/Downloads/10. MUSI BOSA CORTE 31 DE DICIEMBRE 2016_INSUMO CONTRALORIA.xls']Hoja1!$D$81:$G$158,3,0)</f>
        <v>Adecuación , habilitación y dotación de jardines</v>
      </c>
      <c r="T3" s="35" t="s">
        <v>52</v>
      </c>
      <c r="U3" s="41" t="n">
        <v>1</v>
      </c>
      <c r="V3" s="42" t="n">
        <f aca="false">AJ3/O3</f>
        <v>0.5</v>
      </c>
      <c r="W3" s="42" t="n">
        <f aca="false">U3*V3</f>
        <v>0.5</v>
      </c>
      <c r="X3" s="42" t="n">
        <f aca="false">AO3/O3</f>
        <v>0.5</v>
      </c>
      <c r="Y3" s="42" t="n">
        <f aca="false">X3*U3</f>
        <v>0.5</v>
      </c>
      <c r="Z3" s="38" t="n">
        <v>116</v>
      </c>
      <c r="AA3" s="40" t="n">
        <v>20</v>
      </c>
      <c r="AB3" s="40" t="n">
        <v>20</v>
      </c>
      <c r="AC3" s="40" t="n">
        <v>20</v>
      </c>
      <c r="AD3" s="40" t="n">
        <v>20</v>
      </c>
      <c r="AE3" s="40" t="n">
        <f aca="false">SI(T3="Constante";PROMEDIO(AA3;AB3;AC3;AD3);SI(T3="Suma";SUMA(AA3;AB3;AC3;AD3);0))</f>
        <v>80</v>
      </c>
      <c r="AF3" s="40" t="n">
        <v>20</v>
      </c>
      <c r="AG3" s="40" t="n">
        <v>20</v>
      </c>
      <c r="AH3" s="43" t="n">
        <v>0</v>
      </c>
      <c r="AI3" s="44" t="n">
        <v>0</v>
      </c>
      <c r="AJ3" s="40" t="n">
        <f aca="false">SI(T3="Constante";PROMEDIO(AF3;AG3;AH3;AI3);SI(T3="Suma";SUMA(AF3;AG3;AH3;AI3);0))</f>
        <v>40</v>
      </c>
      <c r="AK3" s="40" t="n">
        <v>20</v>
      </c>
      <c r="AL3" s="43" t="n">
        <v>20</v>
      </c>
      <c r="AM3" s="45" t="n">
        <v>0</v>
      </c>
      <c r="AN3" s="45" t="n">
        <v>0</v>
      </c>
      <c r="AO3" s="40" t="n">
        <f aca="false">SI(T3="Constante";PROMEDIO(AK3;AL3;AM3;AN3);SI(T3="Suma";SUMA(AK3;AL3;AM3;AN3);0))</f>
        <v>40</v>
      </c>
      <c r="AP3" s="46" t="n">
        <v>998801813</v>
      </c>
      <c r="AQ3" s="46" t="n">
        <v>999997030</v>
      </c>
      <c r="AR3" s="46" t="n">
        <v>0</v>
      </c>
      <c r="AS3" s="47" t="n">
        <v>0</v>
      </c>
      <c r="AT3" s="46" t="n">
        <f aca="false">SUMA(AP3:AS3)</f>
        <v>1998798843</v>
      </c>
      <c r="AU3" s="46" t="n">
        <v>0</v>
      </c>
      <c r="AV3" s="46" t="n">
        <v>0</v>
      </c>
      <c r="AW3" s="46" t="n">
        <v>0</v>
      </c>
      <c r="AX3" s="47" t="n">
        <v>0</v>
      </c>
      <c r="AY3" s="48" t="n">
        <f aca="false">SUMA(AU3:AX3)</f>
        <v>0</v>
      </c>
      <c r="AZ3" s="49"/>
      <c r="BA3" s="49"/>
      <c r="BB3" s="50" t="s">
        <v>53</v>
      </c>
      <c r="BC3" s="51"/>
    </row>
    <row collapsed="false" customFormat="true" customHeight="true" hidden="false" ht="37.5" outlineLevel="0" r="4" s="52">
      <c r="A4" s="34" t="n">
        <f aca="false">VLOOKUP(B4,['file:///Users/user/Downloads/10. MUSI BOSA CORTE 31 DE DICIEMBRE 2016_INSUMO CONTRALORIA.xls']Hoja2!$B$47:$C$66,2,0)</f>
        <v>7</v>
      </c>
      <c r="B4" s="35" t="s">
        <v>43</v>
      </c>
      <c r="C4" s="34" t="n">
        <f aca="false">VLOOKUP(D4,['file:///Users/user/Downloads/10. MUSI BOSA CORTE 31 DE DICIEMBRE 2016_INSUMO CONTRALORIA.xls']Hoja2!$B$8:$C$10,2,0)</f>
        <v>1</v>
      </c>
      <c r="D4" s="36" t="s">
        <v>44</v>
      </c>
      <c r="E4" s="34" t="n">
        <f aca="false">VLOOKUP(F4,['file:///Users/user/Downloads/10. MUSI BOSA CORTE 31 DE DICIEMBRE 2016_INSUMO CONTRALORIA.xls']Hoja2!$B$12:$C$40,2,0)</f>
        <v>1</v>
      </c>
      <c r="F4" s="36" t="s">
        <v>45</v>
      </c>
      <c r="G4" s="37" t="n">
        <v>325</v>
      </c>
      <c r="H4" s="36" t="s">
        <v>54</v>
      </c>
      <c r="I4" s="38" t="n">
        <f aca="false">VLOOKUP(J4,['file:///Users/user/Downloads/10. MUSI BOSA CORTE 31 DE DICIEMBRE 2016_INSUMO CONTRALORIA.xls']Hoja1!$D$81:$G$158,2,0)</f>
        <v>1</v>
      </c>
      <c r="J4" s="39" t="s">
        <v>55</v>
      </c>
      <c r="K4" s="38" t="n">
        <v>1243</v>
      </c>
      <c r="L4" s="39" t="s">
        <v>48</v>
      </c>
      <c r="M4" s="38" t="n">
        <v>2</v>
      </c>
      <c r="N4" s="39" t="s">
        <v>56</v>
      </c>
      <c r="O4" s="40" t="n">
        <v>16000</v>
      </c>
      <c r="P4" s="36" t="s">
        <v>57</v>
      </c>
      <c r="Q4" s="36" t="s">
        <v>58</v>
      </c>
      <c r="R4" s="39" t="str">
        <f aca="false">VLOOKUP(J4,['file:///Users/user/Downloads/10. MUSI BOSA CORTE 31 DE DICIEMBRE 2016_INSUMO CONTRALORIA.xls']Hoja1!$D$81:$G$158,4,0)</f>
        <v>10. SDIS</v>
      </c>
      <c r="S4" s="39" t="str">
        <f aca="false">VLOOKUP(J4,['file:///Users/user/Downloads/10. MUSI BOSA CORTE 31 DE DICIEMBRE 2016_INSUMO CONTRALORIA.xls']Hoja1!$D$81:$G$158,3,0)</f>
        <v>Protección integral a niños y niñas y adolescentes</v>
      </c>
      <c r="T4" s="35" t="s">
        <v>52</v>
      </c>
      <c r="U4" s="41" t="n">
        <v>1</v>
      </c>
      <c r="V4" s="42" t="n">
        <f aca="false">AJ4/O4</f>
        <v>1</v>
      </c>
      <c r="W4" s="42" t="n">
        <f aca="false">U4*V4</f>
        <v>1</v>
      </c>
      <c r="X4" s="42" t="n">
        <f aca="false">AO4/O4</f>
        <v>1.166375</v>
      </c>
      <c r="Y4" s="42" t="n">
        <f aca="false">X4*U4</f>
        <v>1.166375</v>
      </c>
      <c r="Z4" s="38" t="n">
        <v>959</v>
      </c>
      <c r="AA4" s="40" t="n">
        <v>4000</v>
      </c>
      <c r="AB4" s="40" t="n">
        <v>4000</v>
      </c>
      <c r="AC4" s="40" t="n">
        <v>4000</v>
      </c>
      <c r="AD4" s="40" t="n">
        <v>4000</v>
      </c>
      <c r="AE4" s="40" t="n">
        <f aca="false">SI(T4="Constante";PROMEDIO(AA4;AB4;AC4;AD4);SI(T4="Suma";SUMA(AA4;AB4;AC4;AD4);0))</f>
        <v>16000</v>
      </c>
      <c r="AF4" s="40" t="n">
        <v>4000</v>
      </c>
      <c r="AG4" s="40" t="n">
        <v>4000</v>
      </c>
      <c r="AH4" s="43" t="n">
        <v>4000</v>
      </c>
      <c r="AI4" s="44" t="n">
        <v>4000</v>
      </c>
      <c r="AJ4" s="40" t="n">
        <f aca="false">SI(T4="Constante";PROMEDIO(AF4;AG4;AH4;AI4);SI(T4="Suma";SUMA(AF4;AG4;AH4;AI4);0))</f>
        <v>16000</v>
      </c>
      <c r="AK4" s="40" t="n">
        <v>6602</v>
      </c>
      <c r="AL4" s="43" t="n">
        <v>4840</v>
      </c>
      <c r="AM4" s="45" t="n">
        <v>7220</v>
      </c>
      <c r="AN4" s="45" t="n">
        <v>0</v>
      </c>
      <c r="AO4" s="40" t="n">
        <f aca="false">SI(T4="Constante";PROMEDIO(AK4;AL4;AM4;AN4);SI(T4="Suma";SUMA(AK4;AL4;AM4;AN4);0))</f>
        <v>18662</v>
      </c>
      <c r="AP4" s="46" t="n">
        <v>800000000</v>
      </c>
      <c r="AQ4" s="46" t="n">
        <v>995387500</v>
      </c>
      <c r="AR4" s="46" t="n">
        <f aca="false">952381000+36000000</f>
        <v>988381000</v>
      </c>
      <c r="AS4" s="47" t="n">
        <v>786322022</v>
      </c>
      <c r="AT4" s="46" t="n">
        <f aca="false">SUMA(AP4:AS4)</f>
        <v>3570090522</v>
      </c>
      <c r="AU4" s="46" t="n">
        <v>151600000</v>
      </c>
      <c r="AV4" s="46" t="n">
        <v>693594125</v>
      </c>
      <c r="AW4" s="46" t="n">
        <v>867942900</v>
      </c>
      <c r="AX4" s="47" t="n">
        <v>0</v>
      </c>
      <c r="AY4" s="48" t="n">
        <f aca="false">SUMA(AU4:AX4)</f>
        <v>1713137025</v>
      </c>
      <c r="AZ4" s="49"/>
      <c r="BA4" s="49"/>
      <c r="BB4" s="50" t="s">
        <v>53</v>
      </c>
      <c r="BC4" s="51"/>
    </row>
    <row collapsed="false" customFormat="true" customHeight="true" hidden="false" ht="37.5" outlineLevel="0" r="5" s="52">
      <c r="A5" s="34" t="n">
        <f aca="false">VLOOKUP(B5,['file:///Users/user/Downloads/10. MUSI BOSA CORTE 31 DE DICIEMBRE 2016_INSUMO CONTRALORIA.xls']Hoja2!$B$47:$C$66,2,0)</f>
        <v>7</v>
      </c>
      <c r="B5" s="35" t="s">
        <v>43</v>
      </c>
      <c r="C5" s="34" t="n">
        <f aca="false">VLOOKUP(D5,['file:///Users/user/Downloads/10. MUSI BOSA CORTE 31 DE DICIEMBRE 2016_INSUMO CONTRALORIA.xls']Hoja2!$B$8:$C$10,2,0)</f>
        <v>1</v>
      </c>
      <c r="D5" s="36" t="s">
        <v>44</v>
      </c>
      <c r="E5" s="34" t="n">
        <f aca="false">VLOOKUP(F5,['file:///Users/user/Downloads/10. MUSI BOSA CORTE 31 DE DICIEMBRE 2016_INSUMO CONTRALORIA.xls']Hoja2!$B$12:$C$40,2,0)</f>
        <v>2</v>
      </c>
      <c r="F5" s="36" t="s">
        <v>59</v>
      </c>
      <c r="G5" s="37" t="n">
        <v>326</v>
      </c>
      <c r="H5" s="36" t="s">
        <v>60</v>
      </c>
      <c r="I5" s="38" t="n">
        <f aca="false">VLOOKUP(J5,['file:///Users/user/Downloads/10. MUSI BOSA CORTE 31 DE DICIEMBRE 2016_INSUMO CONTRALORIA.xls']Hoja1!$D$81:$G$158,2,0)</f>
        <v>4</v>
      </c>
      <c r="J5" s="39" t="s">
        <v>61</v>
      </c>
      <c r="K5" s="38" t="n">
        <v>830</v>
      </c>
      <c r="L5" s="39" t="s">
        <v>62</v>
      </c>
      <c r="M5" s="38" t="n">
        <v>3</v>
      </c>
      <c r="N5" s="39" t="s">
        <v>56</v>
      </c>
      <c r="O5" s="40" t="n">
        <v>10000</v>
      </c>
      <c r="P5" s="36" t="s">
        <v>63</v>
      </c>
      <c r="Q5" s="36" t="s">
        <v>64</v>
      </c>
      <c r="R5" s="39" t="str">
        <f aca="false">VLOOKUP(J5,['file:///Users/user/Downloads/10. MUSI BOSA CORTE 31 DE DICIEMBRE 2016_INSUMO CONTRALORIA.xls']Hoja1!$D$81:$G$158,4,0)</f>
        <v>9. SALUD</v>
      </c>
      <c r="S5" s="39" t="str">
        <f aca="false">VLOOKUP(J5,['file:///Users/user/Downloads/10. MUSI BOSA CORTE 31 DE DICIEMBRE 2016_INSUMO CONTRALORIA.xls']Hoja1!$D$81:$G$158,3,0)</f>
        <v>Promoción, prevención e intervención en salud</v>
      </c>
      <c r="T5" s="35" t="s">
        <v>52</v>
      </c>
      <c r="U5" s="41" t="n">
        <v>1</v>
      </c>
      <c r="V5" s="42" t="n">
        <f aca="false">AJ5/O5</f>
        <v>1.3402</v>
      </c>
      <c r="W5" s="42" t="n">
        <f aca="false">U5*V5</f>
        <v>1.3402</v>
      </c>
      <c r="X5" s="42" t="n">
        <f aca="false">AO5/O5</f>
        <v>0.8097</v>
      </c>
      <c r="Y5" s="42" t="n">
        <f aca="false">X5*U5</f>
        <v>0.8097</v>
      </c>
      <c r="Z5" s="38" t="n">
        <v>4176</v>
      </c>
      <c r="AA5" s="40" t="n">
        <v>2500</v>
      </c>
      <c r="AB5" s="40" t="n">
        <v>2500</v>
      </c>
      <c r="AC5" s="40" t="n">
        <v>2500</v>
      </c>
      <c r="AD5" s="40" t="n">
        <v>2500</v>
      </c>
      <c r="AE5" s="40" t="n">
        <f aca="false">SI(T5="Constante";PROMEDIO(AA5;AB5;AC5;AD5);SI(T5="Suma";SUMA(AA5;AB5;AC5;AD5);0))</f>
        <v>10000</v>
      </c>
      <c r="AF5" s="40" t="n">
        <v>2500</v>
      </c>
      <c r="AG5" s="40" t="n">
        <v>4200</v>
      </c>
      <c r="AH5" s="43" t="n">
        <v>4800</v>
      </c>
      <c r="AI5" s="44" t="n">
        <v>1902</v>
      </c>
      <c r="AJ5" s="40" t="n">
        <f aca="false">SI(T5="Constante";PROMEDIO(AF5;AG5;AH5;AI5);SI(T5="Suma";SUMA(AF5;AG5;AH5;AI5);0))</f>
        <v>13402</v>
      </c>
      <c r="AK5" s="40" t="n">
        <v>0</v>
      </c>
      <c r="AL5" s="53" t="n">
        <f aca="false">7121-1824</f>
        <v>5297</v>
      </c>
      <c r="AM5" s="45" t="n">
        <v>2800</v>
      </c>
      <c r="AN5" s="45" t="n">
        <v>0</v>
      </c>
      <c r="AO5" s="40" t="n">
        <f aca="false">SI(T5="Constante";PROMEDIO(AK5;AL5;AM5;AN5);SI(T5="Suma";SUMA(AK5;AL5;AM5;AN5);0))</f>
        <v>8097</v>
      </c>
      <c r="AP5" s="46" t="n">
        <v>862040000</v>
      </c>
      <c r="AQ5" s="46" t="n">
        <v>391783909</v>
      </c>
      <c r="AR5" s="46" t="n">
        <v>350000000</v>
      </c>
      <c r="AS5" s="47" t="n">
        <f aca="false">665000000+35000000+2333333</f>
        <v>702333333</v>
      </c>
      <c r="AT5" s="46" t="n">
        <f aca="false">SUM(AP5:AS5)</f>
        <v>2306157242</v>
      </c>
      <c r="AU5" s="46" t="n">
        <v>0</v>
      </c>
      <c r="AV5" s="46" t="n">
        <v>0</v>
      </c>
      <c r="AW5" s="46" t="n">
        <v>0</v>
      </c>
      <c r="AX5" s="47" t="n">
        <v>0</v>
      </c>
      <c r="AY5" s="48" t="n">
        <f aca="false">SUMA(AU5:AX5)</f>
        <v>0</v>
      </c>
      <c r="AZ5" s="49"/>
      <c r="BA5" s="49"/>
      <c r="BB5" s="49" t="s">
        <v>65</v>
      </c>
      <c r="BC5" s="51" t="s">
        <v>66</v>
      </c>
    </row>
    <row collapsed="false" customFormat="true" customHeight="true" hidden="false" ht="37.5" outlineLevel="0" r="6" s="52">
      <c r="A6" s="34" t="n">
        <f aca="false">VLOOKUP(B6,['file:///Users/user/Downloads/10. MUSI BOSA CORTE 31 DE DICIEMBRE 2016_INSUMO CONTRALORIA.xls']Hoja2!$B$47:$C$66,2,0)</f>
        <v>7</v>
      </c>
      <c r="B6" s="35" t="s">
        <v>43</v>
      </c>
      <c r="C6" s="34" t="n">
        <f aca="false">VLOOKUP(D6,['file:///Users/user/Downloads/10. MUSI BOSA CORTE 31 DE DICIEMBRE 2016_INSUMO CONTRALORIA.xls']Hoja2!$B$8:$C$10,2,0)</f>
        <v>1</v>
      </c>
      <c r="D6" s="36" t="s">
        <v>44</v>
      </c>
      <c r="E6" s="34" t="n">
        <f aca="false">VLOOKUP(F6,['file:///Users/user/Downloads/10. MUSI BOSA CORTE 31 DE DICIEMBRE 2016_INSUMO CONTRALORIA.xls']Hoja2!$B$12:$C$40,2,0)</f>
        <v>2</v>
      </c>
      <c r="F6" s="36" t="s">
        <v>59</v>
      </c>
      <c r="G6" s="37" t="n">
        <v>327</v>
      </c>
      <c r="H6" s="36" t="s">
        <v>67</v>
      </c>
      <c r="I6" s="38" t="n">
        <f aca="false">VLOOKUP(J6,['file:///Users/user/Downloads/10. MUSI BOSA CORTE 31 DE DICIEMBRE 2016_INSUMO CONTRALORIA.xls']Hoja1!$D$81:$G$158,2,0)</f>
        <v>73</v>
      </c>
      <c r="J6" s="39" t="s">
        <v>68</v>
      </c>
      <c r="K6" s="38" t="n">
        <v>830</v>
      </c>
      <c r="L6" s="39" t="s">
        <v>62</v>
      </c>
      <c r="M6" s="38" t="n">
        <v>2</v>
      </c>
      <c r="N6" s="39" t="s">
        <v>56</v>
      </c>
      <c r="O6" s="40" t="n">
        <v>5000</v>
      </c>
      <c r="P6" s="36" t="s">
        <v>69</v>
      </c>
      <c r="Q6" s="36" t="s">
        <v>70</v>
      </c>
      <c r="R6" s="39" t="str">
        <f aca="false">VLOOKUP(J6,['file:///Users/user/Downloads/10. MUSI BOSA CORTE 31 DE DICIEMBRE 2016_INSUMO CONTRALORIA.xls']Hoja1!$D$81:$G$158,4,0)</f>
        <v>9. SALUD</v>
      </c>
      <c r="S6" s="39" t="str">
        <f aca="false">VLOOKUP(J6,['file:///Users/user/Downloads/10. MUSI BOSA CORTE 31 DE DICIEMBRE 2016_INSUMO CONTRALORIA.xls']Hoja1!$D$81:$G$158,3,0)</f>
        <v>Promoción, prevención e intervención en salud</v>
      </c>
      <c r="T6" s="35" t="s">
        <v>52</v>
      </c>
      <c r="U6" s="41" t="n">
        <v>1</v>
      </c>
      <c r="V6" s="42" t="n">
        <f aca="false">AJ6/O6</f>
        <v>0.998</v>
      </c>
      <c r="W6" s="42" t="n">
        <f aca="false">U6*V6</f>
        <v>0.998</v>
      </c>
      <c r="X6" s="42" t="n">
        <f aca="false">AO6/O6</f>
        <v>0.716</v>
      </c>
      <c r="Y6" s="42" t="n">
        <f aca="false">X6*U6</f>
        <v>0.716</v>
      </c>
      <c r="Z6" s="38" t="n">
        <v>4176</v>
      </c>
      <c r="AA6" s="40" t="n">
        <v>1250</v>
      </c>
      <c r="AB6" s="40" t="n">
        <v>1250</v>
      </c>
      <c r="AC6" s="40" t="n">
        <v>1250</v>
      </c>
      <c r="AD6" s="40" t="n">
        <v>1250</v>
      </c>
      <c r="AE6" s="40" t="n">
        <f aca="false">SI(T6="Constante";PROMEDIO(AA6;AB6;AC6;AD6);SI(T6="Suma";SUMA(AA6;AB6;AC6;AD6);0))</f>
        <v>5000</v>
      </c>
      <c r="AF6" s="40" t="n">
        <v>1250</v>
      </c>
      <c r="AG6" s="40" t="n">
        <v>1250</v>
      </c>
      <c r="AH6" s="43" t="n">
        <v>420</v>
      </c>
      <c r="AI6" s="44" t="n">
        <f aca="false">1420+650</f>
        <v>2070</v>
      </c>
      <c r="AJ6" s="40" t="n">
        <f aca="false">SI(T6="Constante";PROMEDIO(AF6;AG6;AH6;AI6);SI(T6="Suma";SUMA(AF6;AG6;AH6;AI6);0))</f>
        <v>4990</v>
      </c>
      <c r="AK6" s="40" t="n">
        <v>1893</v>
      </c>
      <c r="AL6" s="53" t="n">
        <v>1267</v>
      </c>
      <c r="AM6" s="45" t="n">
        <v>420</v>
      </c>
      <c r="AN6" s="45" t="n">
        <v>0</v>
      </c>
      <c r="AO6" s="40" t="n">
        <f aca="false">SI(T6="Constante";PROMEDIO(AK6;AL6;AM6;AN6);SI(T6="Suma";SUMA(AK6;AL6;AM6;AN6);0))</f>
        <v>3580</v>
      </c>
      <c r="AP6" s="46" t="n">
        <v>414880000</v>
      </c>
      <c r="AQ6" s="46" t="n">
        <v>213695080</v>
      </c>
      <c r="AR6" s="46" t="n">
        <v>141522000</v>
      </c>
      <c r="AS6" s="47" t="n">
        <f aca="false">185000000+14999893</f>
        <v>199999893</v>
      </c>
      <c r="AT6" s="46" t="n">
        <f aca="false">SUMA(AP6:AS6)</f>
        <v>970096973</v>
      </c>
      <c r="AU6" s="46" t="n">
        <v>0</v>
      </c>
      <c r="AV6" s="46" t="n">
        <v>0</v>
      </c>
      <c r="AW6" s="46" t="n">
        <v>0</v>
      </c>
      <c r="AX6" s="47" t="n">
        <v>0</v>
      </c>
      <c r="AY6" s="48" t="n">
        <f aca="false">SUMA(AU6:AX6)</f>
        <v>0</v>
      </c>
      <c r="AZ6" s="49"/>
      <c r="BA6" s="49"/>
      <c r="BB6" s="49" t="s">
        <v>65</v>
      </c>
      <c r="BC6" s="51"/>
    </row>
    <row collapsed="false" customFormat="true" customHeight="true" hidden="false" ht="37.5" outlineLevel="0" r="7" s="52">
      <c r="A7" s="34" t="n">
        <f aca="false">VLOOKUP(B7,['file:///Users/user/Downloads/10. MUSI BOSA CORTE 31 DE DICIEMBRE 2016_INSUMO CONTRALORIA.xls']Hoja2!$B$47:$C$66,2,0)</f>
        <v>7</v>
      </c>
      <c r="B7" s="35" t="s">
        <v>43</v>
      </c>
      <c r="C7" s="34" t="n">
        <f aca="false">VLOOKUP(D7,['file:///Users/user/Downloads/10. MUSI BOSA CORTE 31 DE DICIEMBRE 2016_INSUMO CONTRALORIA.xls']Hoja2!$B$8:$C$10,2,0)</f>
        <v>1</v>
      </c>
      <c r="D7" s="36" t="s">
        <v>44</v>
      </c>
      <c r="E7" s="34" t="n">
        <f aca="false">VLOOKUP(F7,['file:///Users/user/Downloads/10. MUSI BOSA CORTE 31 DE DICIEMBRE 2016_INSUMO CONTRALORIA.xls']Hoja2!$B$12:$C$40,2,0)</f>
        <v>2</v>
      </c>
      <c r="F7" s="36" t="s">
        <v>59</v>
      </c>
      <c r="G7" s="37" t="n">
        <v>328</v>
      </c>
      <c r="H7" s="36" t="s">
        <v>71</v>
      </c>
      <c r="I7" s="38" t="n">
        <f aca="false">VLOOKUP(J7,['file:///Users/user/Downloads/10. MUSI BOSA CORTE 31 DE DICIEMBRE 2016_INSUMO CONTRALORIA.xls']Hoja1!$D$81:$G$158,2,0)</f>
        <v>5</v>
      </c>
      <c r="J7" s="39" t="s">
        <v>72</v>
      </c>
      <c r="K7" s="38" t="n">
        <v>830</v>
      </c>
      <c r="L7" s="39" t="s">
        <v>62</v>
      </c>
      <c r="M7" s="38" t="n">
        <v>1</v>
      </c>
      <c r="N7" s="39" t="s">
        <v>73</v>
      </c>
      <c r="O7" s="40" t="n">
        <v>1800</v>
      </c>
      <c r="P7" s="36" t="s">
        <v>63</v>
      </c>
      <c r="Q7" s="36" t="s">
        <v>74</v>
      </c>
      <c r="R7" s="39" t="str">
        <f aca="false">VLOOKUP(J7,['file:///Users/user/Downloads/10. MUSI BOSA CORTE 31 DE DICIEMBRE 2016_INSUMO CONTRALORIA.xls']Hoja1!$D$81:$G$158,4,0)</f>
        <v>9. SALUD</v>
      </c>
      <c r="S7" s="39" t="str">
        <f aca="false">VLOOKUP(J7,['file:///Users/user/Downloads/10. MUSI BOSA CORTE 31 DE DICIEMBRE 2016_INSUMO CONTRALORIA.xls']Hoja1!$D$81:$G$158,3,0)</f>
        <v>Promoción, prevención e intervención en salud</v>
      </c>
      <c r="T7" s="35" t="s">
        <v>52</v>
      </c>
      <c r="U7" s="41" t="n">
        <v>1</v>
      </c>
      <c r="V7" s="42" t="n">
        <f aca="false">AJ7/O7</f>
        <v>1.05</v>
      </c>
      <c r="W7" s="42" t="n">
        <f aca="false">U7*V7</f>
        <v>1.05</v>
      </c>
      <c r="X7" s="42" t="n">
        <f aca="false">AO7/O7</f>
        <v>0.657777777777778</v>
      </c>
      <c r="Y7" s="42" t="n">
        <f aca="false">X7*U7</f>
        <v>0.657777777777778</v>
      </c>
      <c r="Z7" s="38" t="n">
        <v>1626</v>
      </c>
      <c r="AA7" s="40" t="n">
        <v>450</v>
      </c>
      <c r="AB7" s="40" t="n">
        <v>450</v>
      </c>
      <c r="AC7" s="40" t="n">
        <v>450</v>
      </c>
      <c r="AD7" s="40" t="n">
        <v>450</v>
      </c>
      <c r="AE7" s="40" t="n">
        <f aca="false">SI(T7="Constante";PROMEDIO(AA7;AB7;AC7;AD7);SI(T7="Suma";SUMA(AA7;AB7;AC7;AD7);0))</f>
        <v>1800</v>
      </c>
      <c r="AF7" s="40" t="n">
        <v>600</v>
      </c>
      <c r="AG7" s="40" t="n">
        <v>450</v>
      </c>
      <c r="AH7" s="43" t="n">
        <v>224</v>
      </c>
      <c r="AI7" s="44" t="n">
        <v>616</v>
      </c>
      <c r="AJ7" s="40" t="n">
        <f aca="false">SI(T7="Constante";PROMEDIO(AF7;AG7;AH7;AI7);SI(T7="Suma";SUMA(AF7;AG7;AH7;AI7);0))</f>
        <v>1890</v>
      </c>
      <c r="AK7" s="53" t="n">
        <v>510</v>
      </c>
      <c r="AL7" s="53" t="n">
        <v>508</v>
      </c>
      <c r="AM7" s="45" t="n">
        <v>166</v>
      </c>
      <c r="AN7" s="45" t="n">
        <v>0</v>
      </c>
      <c r="AO7" s="40" t="n">
        <f aca="false">SI(T7="Constante";PROMEDIO(AK7;AL7;AM7;AN7);SI(T7="Suma";SUMA(AK7;AL7;AM7;AN7);0))</f>
        <v>1184</v>
      </c>
      <c r="AP7" s="46" t="n">
        <v>876000000</v>
      </c>
      <c r="AQ7" s="46" t="n">
        <v>704200000</v>
      </c>
      <c r="AR7" s="46" t="n">
        <v>199942262</v>
      </c>
      <c r="AS7" s="47" t="n">
        <f aca="false">1140000000+60000000</f>
        <v>1200000000</v>
      </c>
      <c r="AT7" s="46" t="n">
        <f aca="false">SUMA(AP7:AS7)</f>
        <v>2980142262</v>
      </c>
      <c r="AU7" s="46" t="n">
        <v>0</v>
      </c>
      <c r="AV7" s="46" t="n">
        <v>2100000</v>
      </c>
      <c r="AW7" s="46" t="n">
        <v>0</v>
      </c>
      <c r="AX7" s="47" t="n">
        <v>0</v>
      </c>
      <c r="AY7" s="48" t="n">
        <f aca="false">SUMA(AU7:AX7)</f>
        <v>2100000</v>
      </c>
      <c r="AZ7" s="49"/>
      <c r="BA7" s="49"/>
      <c r="BB7" s="49" t="s">
        <v>65</v>
      </c>
      <c r="BC7" s="51" t="s">
        <v>75</v>
      </c>
    </row>
    <row collapsed="false" customFormat="true" customHeight="true" hidden="false" ht="37.5" outlineLevel="0" r="8" s="52">
      <c r="A8" s="34" t="n">
        <f aca="false">VLOOKUP(B8,['file:///Users/user/Downloads/10. MUSI BOSA CORTE 31 DE DICIEMBRE 2016_INSUMO CONTRALORIA.xls']Hoja2!$B$47:$C$66,2,0)</f>
        <v>7</v>
      </c>
      <c r="B8" s="35" t="s">
        <v>43</v>
      </c>
      <c r="C8" s="34" t="n">
        <f aca="false">VLOOKUP(D8,['file:///Users/user/Downloads/10. MUSI BOSA CORTE 31 DE DICIEMBRE 2016_INSUMO CONTRALORIA.xls']Hoja2!$B$8:$C$10,2,0)</f>
        <v>1</v>
      </c>
      <c r="D8" s="36" t="s">
        <v>44</v>
      </c>
      <c r="E8" s="34" t="n">
        <f aca="false">VLOOKUP(F8,['file:///Users/user/Downloads/10. MUSI BOSA CORTE 31 DE DICIEMBRE 2016_INSUMO CONTRALORIA.xls']Hoja2!$B$12:$C$40,2,0)</f>
        <v>2</v>
      </c>
      <c r="F8" s="36" t="s">
        <v>59</v>
      </c>
      <c r="G8" s="37" t="n">
        <v>329</v>
      </c>
      <c r="H8" s="36" t="s">
        <v>76</v>
      </c>
      <c r="I8" s="38" t="n">
        <f aca="false">VLOOKUP(J8,['file:///Users/user/Downloads/10. MUSI BOSA CORTE 31 DE DICIEMBRE 2016_INSUMO CONTRALORIA.xls']Hoja1!$D$81:$G$158,2,0)</f>
        <v>4</v>
      </c>
      <c r="J8" s="39" t="s">
        <v>61</v>
      </c>
      <c r="K8" s="38" t="n">
        <v>830</v>
      </c>
      <c r="L8" s="39" t="s">
        <v>62</v>
      </c>
      <c r="M8" s="38" t="n">
        <v>4</v>
      </c>
      <c r="N8" s="39" t="s">
        <v>56</v>
      </c>
      <c r="O8" s="40" t="n">
        <v>4000</v>
      </c>
      <c r="P8" s="36" t="s">
        <v>77</v>
      </c>
      <c r="Q8" s="36" t="s">
        <v>78</v>
      </c>
      <c r="R8" s="39" t="str">
        <f aca="false">VLOOKUP(J8,['file:///Users/user/Downloads/10. MUSI BOSA CORTE 31 DE DICIEMBRE 2016_INSUMO CONTRALORIA.xls']Hoja1!$D$81:$G$158,4,0)</f>
        <v>9. SALUD</v>
      </c>
      <c r="S8" s="39" t="str">
        <f aca="false">VLOOKUP(J8,['file:///Users/user/Downloads/10. MUSI BOSA CORTE 31 DE DICIEMBRE 2016_INSUMO CONTRALORIA.xls']Hoja1!$D$81:$G$158,3,0)</f>
        <v>Promoción, prevención e intervención en salud</v>
      </c>
      <c r="T8" s="35" t="s">
        <v>52</v>
      </c>
      <c r="U8" s="41" t="n">
        <v>1</v>
      </c>
      <c r="V8" s="42" t="n">
        <f aca="false">AJ8/O8</f>
        <v>1.63525</v>
      </c>
      <c r="W8" s="42" t="n">
        <f aca="false">U8*V8</f>
        <v>1.63525</v>
      </c>
      <c r="X8" s="42" t="n">
        <f aca="false">AO8/O8</f>
        <v>1.18625</v>
      </c>
      <c r="Y8" s="42" t="n">
        <f aca="false">X8*U8</f>
        <v>1.18625</v>
      </c>
      <c r="Z8" s="38" t="n">
        <v>0</v>
      </c>
      <c r="AA8" s="40" t="n">
        <v>1000</v>
      </c>
      <c r="AB8" s="40" t="n">
        <v>1000</v>
      </c>
      <c r="AC8" s="40" t="n">
        <v>1000</v>
      </c>
      <c r="AD8" s="40" t="n">
        <v>1000</v>
      </c>
      <c r="AE8" s="40" t="n">
        <f aca="false">SI(T8="Constante";PROMEDIO(AA8;AB8;AC8;AD8);SI(T8="Suma";SUMA(AA8;AB8;AC8;AD8);0))</f>
        <v>4000</v>
      </c>
      <c r="AF8" s="40" t="n">
        <v>1000</v>
      </c>
      <c r="AG8" s="40" t="n">
        <v>1530</v>
      </c>
      <c r="AH8" s="43" t="n">
        <f aca="false">8811-4800</f>
        <v>4011</v>
      </c>
      <c r="AI8" s="44" t="n">
        <v>0</v>
      </c>
      <c r="AJ8" s="40" t="n">
        <f aca="false">SI(T8="Constante";PROMEDIO(AF8;AG8;AH8;AI8);SI(T8="Suma";SUMA(AF8;AG8;AH8;AI8);0))</f>
        <v>6541</v>
      </c>
      <c r="AK8" s="40" t="n">
        <v>0</v>
      </c>
      <c r="AL8" s="53" t="n">
        <v>1935</v>
      </c>
      <c r="AM8" s="45" t="n">
        <v>2810</v>
      </c>
      <c r="AN8" s="45" t="n">
        <v>0</v>
      </c>
      <c r="AO8" s="40" t="n">
        <f aca="false">SI(T8="Constante";PROMEDIO(AK8;AL8;AM8;AN8);SI(T8="Suma";SUMA(AK8;AL8;AM8;AN8);0))</f>
        <v>4745</v>
      </c>
      <c r="AP8" s="46" t="n">
        <v>350000000</v>
      </c>
      <c r="AQ8" s="46" t="n">
        <v>320040000</v>
      </c>
      <c r="AR8" s="46" t="n">
        <v>350000000</v>
      </c>
      <c r="AS8" s="47" t="n">
        <v>0</v>
      </c>
      <c r="AT8" s="46" t="n">
        <f aca="false">SUMA(AP8:AS8)</f>
        <v>1020040000</v>
      </c>
      <c r="AU8" s="46" t="n">
        <v>0</v>
      </c>
      <c r="AV8" s="46" t="n">
        <v>0</v>
      </c>
      <c r="AW8" s="46" t="n">
        <v>0</v>
      </c>
      <c r="AX8" s="47" t="n">
        <v>0</v>
      </c>
      <c r="AY8" s="48" t="n">
        <f aca="false">SUMA(AU8:AX8)</f>
        <v>0</v>
      </c>
      <c r="AZ8" s="49"/>
      <c r="BA8" s="49"/>
      <c r="BB8" s="49" t="s">
        <v>65</v>
      </c>
      <c r="BC8" s="51" t="s">
        <v>79</v>
      </c>
    </row>
    <row collapsed="false" customFormat="true" customHeight="true" hidden="false" ht="37.5" outlineLevel="0" r="9" s="52">
      <c r="A9" s="34" t="n">
        <f aca="false">VLOOKUP(B9,['file:///Users/user/Downloads/10. MUSI BOSA CORTE 31 DE DICIEMBRE 2016_INSUMO CONTRALORIA.xls']Hoja2!$B$47:$C$66,2,0)</f>
        <v>7</v>
      </c>
      <c r="B9" s="35" t="s">
        <v>43</v>
      </c>
      <c r="C9" s="34" t="n">
        <f aca="false">VLOOKUP(D9,['file:///Users/user/Downloads/10. MUSI BOSA CORTE 31 DE DICIEMBRE 2016_INSUMO CONTRALORIA.xls']Hoja2!$B$8:$C$10,2,0)</f>
        <v>1</v>
      </c>
      <c r="D9" s="36" t="s">
        <v>44</v>
      </c>
      <c r="E9" s="34" t="n">
        <f aca="false">VLOOKUP(F9,['file:///Users/user/Downloads/10. MUSI BOSA CORTE 31 DE DICIEMBRE 2016_INSUMO CONTRALORIA.xls']Hoja2!$B$12:$C$40,2,0)</f>
        <v>3</v>
      </c>
      <c r="F9" s="36" t="s">
        <v>80</v>
      </c>
      <c r="G9" s="37" t="n">
        <v>330</v>
      </c>
      <c r="H9" s="36" t="s">
        <v>81</v>
      </c>
      <c r="I9" s="38" t="n">
        <f aca="false">VLOOKUP(J9,['file:///Users/user/Downloads/10. MUSI BOSA CORTE 31 DE DICIEMBRE 2016_INSUMO CONTRALORIA.xls']Hoja1!$D$81:$G$158,2,0)</f>
        <v>11</v>
      </c>
      <c r="J9" s="39" t="s">
        <v>82</v>
      </c>
      <c r="K9" s="38" t="n">
        <v>1007</v>
      </c>
      <c r="L9" s="39" t="s">
        <v>83</v>
      </c>
      <c r="M9" s="38" t="n">
        <v>3</v>
      </c>
      <c r="N9" s="39" t="s">
        <v>56</v>
      </c>
      <c r="O9" s="40" t="n">
        <v>300</v>
      </c>
      <c r="P9" s="36" t="s">
        <v>63</v>
      </c>
      <c r="Q9" s="36" t="s">
        <v>84</v>
      </c>
      <c r="R9" s="39" t="str">
        <f aca="false">VLOOKUP(J9,['file:///Users/user/Downloads/10. MUSI BOSA CORTE 31 DE DICIEMBRE 2016_INSUMO CONTRALORIA.xls']Hoja1!$D$81:$G$158,4,0)</f>
        <v>4. EDUCACIÓN</v>
      </c>
      <c r="S9" s="39" t="str">
        <f aca="false">VLOOKUP(J9,['file:///Users/user/Downloads/10. MUSI BOSA CORTE 31 DE DICIEMBRE 2016_INSUMO CONTRALORIA.xls']Hoja1!$D$81:$G$158,3,0)</f>
        <v>Validación Escolar</v>
      </c>
      <c r="T9" s="35" t="s">
        <v>85</v>
      </c>
      <c r="U9" s="41" t="n">
        <v>1</v>
      </c>
      <c r="V9" s="42" t="n">
        <f aca="false">AJ9/O9</f>
        <v>0.791666666666667</v>
      </c>
      <c r="W9" s="42" t="n">
        <f aca="false">U9*V9</f>
        <v>0.791666666666667</v>
      </c>
      <c r="X9" s="42" t="n">
        <f aca="false">AO9/O9</f>
        <v>0.729166666666667</v>
      </c>
      <c r="Y9" s="42" t="n">
        <f aca="false">X9*U9</f>
        <v>0.729166666666667</v>
      </c>
      <c r="Z9" s="38" t="n">
        <v>0</v>
      </c>
      <c r="AA9" s="40" t="n">
        <v>300</v>
      </c>
      <c r="AB9" s="40" t="n">
        <v>300</v>
      </c>
      <c r="AC9" s="40" t="n">
        <v>300</v>
      </c>
      <c r="AD9" s="40" t="n">
        <v>300</v>
      </c>
      <c r="AE9" s="40" t="n">
        <f aca="false">SI(T9="Constante";PROMEDIO(AA9;AB9;AC9;AD9);SI(T9="Suma";SUMA(AA9;AB9;AC9;AD9);0))</f>
        <v>300</v>
      </c>
      <c r="AF9" s="40" t="n">
        <v>400</v>
      </c>
      <c r="AG9" s="40" t="n">
        <v>450</v>
      </c>
      <c r="AH9" s="43" t="n">
        <v>0</v>
      </c>
      <c r="AI9" s="44" t="n">
        <v>100</v>
      </c>
      <c r="AJ9" s="40" t="n">
        <f aca="false">SI(T9="Constante";PROMEDIO(AF9;AG9;AH9;AI9);SI(T9="Suma";SUMA(AF9;AG9;AH9;AI9);0))</f>
        <v>237.5</v>
      </c>
      <c r="AK9" s="40" t="n">
        <v>425</v>
      </c>
      <c r="AL9" s="43" t="n">
        <v>450</v>
      </c>
      <c r="AM9" s="45" t="n">
        <v>0</v>
      </c>
      <c r="AN9" s="45" t="n">
        <v>0</v>
      </c>
      <c r="AO9" s="40" t="n">
        <f aca="false">SI(T9="Constante";PROMEDIO(AK9;AL9;AM9;AN9);SI(T9="Suma";SUMA(AK9;AL9;AM9;AN9);0))</f>
        <v>218.75</v>
      </c>
      <c r="AP9" s="46" t="n">
        <v>526000000</v>
      </c>
      <c r="AQ9" s="46" t="n">
        <v>541857143</v>
      </c>
      <c r="AR9" s="46" t="n">
        <v>0</v>
      </c>
      <c r="AS9" s="47" t="n">
        <v>229785500</v>
      </c>
      <c r="AT9" s="46" t="n">
        <f aca="false">SUMA(AP9:AS9)</f>
        <v>1297642643</v>
      </c>
      <c r="AU9" s="46" t="n">
        <v>0</v>
      </c>
      <c r="AV9" s="46" t="n">
        <v>0</v>
      </c>
      <c r="AW9" s="46" t="n">
        <v>0</v>
      </c>
      <c r="AX9" s="47" t="n">
        <v>0</v>
      </c>
      <c r="AY9" s="48" t="n">
        <f aca="false">SUMA(AU9:AX9)</f>
        <v>0</v>
      </c>
      <c r="AZ9" s="49"/>
      <c r="BA9" s="49"/>
      <c r="BB9" s="49" t="s">
        <v>65</v>
      </c>
      <c r="BC9" s="51"/>
    </row>
    <row collapsed="false" customFormat="true" customHeight="true" hidden="false" ht="37.5" outlineLevel="0" r="10" s="52">
      <c r="A10" s="34" t="n">
        <f aca="false">VLOOKUP(B10,['file:///Users/user/Downloads/10. MUSI BOSA CORTE 31 DE DICIEMBRE 2016_INSUMO CONTRALORIA.xls']Hoja2!$B$47:$C$66,2,0)</f>
        <v>7</v>
      </c>
      <c r="B10" s="35" t="s">
        <v>43</v>
      </c>
      <c r="C10" s="34" t="n">
        <f aca="false">VLOOKUP(D10,['file:///Users/user/Downloads/10. MUSI BOSA CORTE 31 DE DICIEMBRE 2016_INSUMO CONTRALORIA.xls']Hoja2!$B$8:$C$10,2,0)</f>
        <v>1</v>
      </c>
      <c r="D10" s="36" t="s">
        <v>44</v>
      </c>
      <c r="E10" s="34" t="n">
        <f aca="false">VLOOKUP(F10,['file:///Users/user/Downloads/10. MUSI BOSA CORTE 31 DE DICIEMBRE 2016_INSUMO CONTRALORIA.xls']Hoja2!$B$12:$C$40,2,0)</f>
        <v>3</v>
      </c>
      <c r="F10" s="36" t="s">
        <v>80</v>
      </c>
      <c r="G10" s="37" t="n">
        <v>331</v>
      </c>
      <c r="H10" s="36" t="s">
        <v>86</v>
      </c>
      <c r="I10" s="38" t="n">
        <f aca="false">VLOOKUP(J10,['file:///Users/user/Downloads/10. MUSI BOSA CORTE 31 DE DICIEMBRE 2016_INSUMO CONTRALORIA.xls']Hoja1!$D$81:$G$158,2,0)</f>
        <v>9</v>
      </c>
      <c r="J10" s="39" t="s">
        <v>87</v>
      </c>
      <c r="K10" s="38" t="n">
        <v>1007</v>
      </c>
      <c r="L10" s="39" t="s">
        <v>83</v>
      </c>
      <c r="M10" s="38" t="n">
        <v>1</v>
      </c>
      <c r="N10" s="39" t="s">
        <v>56</v>
      </c>
      <c r="O10" s="40" t="n">
        <v>58000</v>
      </c>
      <c r="P10" s="36" t="s">
        <v>88</v>
      </c>
      <c r="Q10" s="36" t="s">
        <v>89</v>
      </c>
      <c r="R10" s="39" t="str">
        <f aca="false">VLOOKUP(J10,['file:///Users/user/Downloads/10. MUSI BOSA CORTE 31 DE DICIEMBRE 2016_INSUMO CONTRALORIA.xls']Hoja1!$D$81:$G$158,4,0)</f>
        <v>4. EDUCACIÓN</v>
      </c>
      <c r="S10" s="39" t="str">
        <f aca="false">VLOOKUP(J10,['file:///Users/user/Downloads/10. MUSI BOSA CORTE 31 DE DICIEMBRE 2016_INSUMO CONTRALORIA.xls']Hoja1!$D$81:$G$158,3,0)</f>
        <v>Actividades Extraescolares</v>
      </c>
      <c r="T10" s="35" t="s">
        <v>52</v>
      </c>
      <c r="U10" s="41" t="n">
        <v>1</v>
      </c>
      <c r="V10" s="42" t="n">
        <f aca="false">AJ10/O10</f>
        <v>0.917413793103448</v>
      </c>
      <c r="W10" s="42" t="n">
        <f aca="false">U10*V10</f>
        <v>0.917413793103448</v>
      </c>
      <c r="X10" s="42" t="n">
        <f aca="false">AO10/O10</f>
        <v>0.71051724137931</v>
      </c>
      <c r="Y10" s="42" t="n">
        <f aca="false">X10*U10</f>
        <v>0.71051724137931</v>
      </c>
      <c r="Z10" s="38" t="n">
        <v>5479</v>
      </c>
      <c r="AA10" s="40" t="n">
        <v>14500</v>
      </c>
      <c r="AB10" s="40" t="n">
        <v>14500</v>
      </c>
      <c r="AC10" s="40" t="n">
        <v>14500</v>
      </c>
      <c r="AD10" s="40" t="n">
        <v>14500</v>
      </c>
      <c r="AE10" s="40" t="n">
        <f aca="false">SI(T10="Constante";PROMEDIO(AA10;AB10;AC10;AD10);SI(T10="Suma";SUMA(AA10;AB10;AC10;AD10);0))</f>
        <v>58000</v>
      </c>
      <c r="AF10" s="40" t="n">
        <f aca="false">21110+2100</f>
        <v>23210</v>
      </c>
      <c r="AG10" s="40" t="n">
        <v>8000</v>
      </c>
      <c r="AH10" s="43" t="n">
        <v>10000</v>
      </c>
      <c r="AI10" s="44" t="n">
        <v>12000</v>
      </c>
      <c r="AJ10" s="40" t="n">
        <f aca="false">SI(T10="Constante";PROMEDIO(AF10;AG10;AH10;AI10);SI(T10="Suma";SUMA(AF10;AG10;AH10;AI10);0))</f>
        <v>53210</v>
      </c>
      <c r="AK10" s="40" t="n">
        <v>23210</v>
      </c>
      <c r="AL10" s="43" t="n">
        <v>8000</v>
      </c>
      <c r="AM10" s="45" t="n">
        <v>10000</v>
      </c>
      <c r="AN10" s="45" t="n">
        <v>0</v>
      </c>
      <c r="AO10" s="40" t="n">
        <f aca="false">SI(T10="Constante";PROMEDIO(AK10;AL10;AM10;AN10);SI(T10="Suma";SUMA(AK10;AL10;AM10;AN10);0))</f>
        <v>41210</v>
      </c>
      <c r="AP10" s="46" t="n">
        <v>1158761905</v>
      </c>
      <c r="AQ10" s="46" t="n">
        <v>567300000</v>
      </c>
      <c r="AR10" s="46" t="n">
        <f aca="false">685000000+15000000</f>
        <v>700000000</v>
      </c>
      <c r="AS10" s="47" t="n">
        <v>1244299116</v>
      </c>
      <c r="AT10" s="46" t="n">
        <f aca="false">SUMA(AP10:AS10)</f>
        <v>3670361021</v>
      </c>
      <c r="AU10" s="46" t="n">
        <v>1158761905</v>
      </c>
      <c r="AV10" s="46" t="n">
        <v>510570000</v>
      </c>
      <c r="AW10" s="46" t="n">
        <f aca="false">685000000+15000000</f>
        <v>700000000</v>
      </c>
      <c r="AX10" s="47" t="n">
        <v>0</v>
      </c>
      <c r="AY10" s="48" t="n">
        <f aca="false">SUMA(AU10:AX10)</f>
        <v>2369331905</v>
      </c>
      <c r="AZ10" s="49"/>
      <c r="BA10" s="49"/>
      <c r="BB10" s="49" t="s">
        <v>65</v>
      </c>
      <c r="BC10" s="51"/>
    </row>
    <row collapsed="false" customFormat="true" customHeight="true" hidden="false" ht="37.5" outlineLevel="0" r="11" s="52">
      <c r="A11" s="34" t="n">
        <f aca="false">VLOOKUP(B11,['file:///Users/user/Downloads/10. MUSI BOSA CORTE 31 DE DICIEMBRE 2016_INSUMO CONTRALORIA.xls']Hoja2!$B$47:$C$66,2,0)</f>
        <v>7</v>
      </c>
      <c r="B11" s="35" t="s">
        <v>43</v>
      </c>
      <c r="C11" s="34" t="n">
        <f aca="false">VLOOKUP(D11,['file:///Users/user/Downloads/10. MUSI BOSA CORTE 31 DE DICIEMBRE 2016_INSUMO CONTRALORIA.xls']Hoja2!$B$8:$C$10,2,0)</f>
        <v>1</v>
      </c>
      <c r="D11" s="36" t="s">
        <v>44</v>
      </c>
      <c r="E11" s="34" t="n">
        <f aca="false">VLOOKUP(F11,['file:///Users/user/Downloads/10. MUSI BOSA CORTE 31 DE DICIEMBRE 2016_INSUMO CONTRALORIA.xls']Hoja2!$B$12:$C$40,2,0)</f>
        <v>3</v>
      </c>
      <c r="F11" s="36" t="s">
        <v>80</v>
      </c>
      <c r="G11" s="37" t="n">
        <v>332</v>
      </c>
      <c r="H11" s="36" t="s">
        <v>90</v>
      </c>
      <c r="I11" s="38" t="n">
        <f aca="false">VLOOKUP(J11,['file:///Users/user/Downloads/10. MUSI BOSA CORTE 31 DE DICIEMBRE 2016_INSUMO CONTRALORIA.xls']Hoja1!$D$81:$G$158,2,0)</f>
        <v>7</v>
      </c>
      <c r="J11" s="39" t="s">
        <v>91</v>
      </c>
      <c r="K11" s="38" t="n">
        <v>1007</v>
      </c>
      <c r="L11" s="39" t="s">
        <v>83</v>
      </c>
      <c r="M11" s="38" t="n">
        <v>2</v>
      </c>
      <c r="N11" s="39" t="s">
        <v>49</v>
      </c>
      <c r="O11" s="40" t="n">
        <v>28</v>
      </c>
      <c r="P11" s="36" t="s">
        <v>92</v>
      </c>
      <c r="Q11" s="36" t="s">
        <v>93</v>
      </c>
      <c r="R11" s="39" t="str">
        <f aca="false">VLOOKUP(J11,['file:///Users/user/Downloads/10. MUSI BOSA CORTE 31 DE DICIEMBRE 2016_INSUMO CONTRALORIA.xls']Hoja1!$D$81:$G$158,4,0)</f>
        <v>4. EDUCACIÓN</v>
      </c>
      <c r="S11" s="39" t="str">
        <f aca="false">VLOOKUP(J11,['file:///Users/user/Downloads/10. MUSI BOSA CORTE 31 DE DICIEMBRE 2016_INSUMO CONTRALORIA.xls']Hoja1!$D$81:$G$158,3,0)</f>
        <v>Infraestructura y dotación escolar</v>
      </c>
      <c r="T11" s="35" t="s">
        <v>52</v>
      </c>
      <c r="U11" s="41" t="n">
        <v>1</v>
      </c>
      <c r="V11" s="42" t="n">
        <f aca="false">AJ11/O11</f>
        <v>1.03571428571429</v>
      </c>
      <c r="W11" s="42" t="n">
        <f aca="false">U11*V11</f>
        <v>1.03571428571429</v>
      </c>
      <c r="X11" s="42" t="n">
        <f aca="false">AO11/O11</f>
        <v>0.75</v>
      </c>
      <c r="Y11" s="42" t="n">
        <f aca="false">X11*U11</f>
        <v>0.75</v>
      </c>
      <c r="Z11" s="38" t="n">
        <v>22</v>
      </c>
      <c r="AA11" s="40" t="n">
        <v>7</v>
      </c>
      <c r="AB11" s="40" t="n">
        <v>7</v>
      </c>
      <c r="AC11" s="40" t="n">
        <v>7</v>
      </c>
      <c r="AD11" s="40" t="n">
        <v>7</v>
      </c>
      <c r="AE11" s="40" t="n">
        <f aca="false">SI(T11="Constante";PROMEDIO(AA11;AB11;AC11;AD11);SI(T11="Suma";SUMA(AA11;AB11;AC11;AD11);0))</f>
        <v>28</v>
      </c>
      <c r="AF11" s="40" t="n">
        <v>7</v>
      </c>
      <c r="AG11" s="40" t="n">
        <v>7</v>
      </c>
      <c r="AH11" s="43" t="n">
        <v>7</v>
      </c>
      <c r="AI11" s="44" t="n">
        <v>8</v>
      </c>
      <c r="AJ11" s="40" t="n">
        <f aca="false">SI(T11="Constante";PROMEDIO(AF11;AG11;AH11;AI11);SI(T11="Suma";SUMA(AF11;AG11;AH11;AI11);0))</f>
        <v>29</v>
      </c>
      <c r="AK11" s="40" t="n">
        <v>7</v>
      </c>
      <c r="AL11" s="43" t="n">
        <v>7</v>
      </c>
      <c r="AM11" s="45" t="n">
        <v>7</v>
      </c>
      <c r="AN11" s="45" t="n">
        <v>0</v>
      </c>
      <c r="AO11" s="40" t="n">
        <f aca="false">SI(T11="Constante";PROMEDIO(AK11;AL11;AM11;AN11);SI(T11="Suma";SUMA(AK11;AL11;AM11;AN11);0))</f>
        <v>21</v>
      </c>
      <c r="AP11" s="46" t="n">
        <v>898039005</v>
      </c>
      <c r="AQ11" s="46" t="n">
        <v>900000000</v>
      </c>
      <c r="AR11" s="46" t="n">
        <v>539966356</v>
      </c>
      <c r="AS11" s="47" t="n">
        <v>648916667</v>
      </c>
      <c r="AT11" s="46" t="n">
        <f aca="false">SUMA(AP11:AS11)</f>
        <v>2986922028</v>
      </c>
      <c r="AU11" s="46" t="n">
        <v>228786600</v>
      </c>
      <c r="AV11" s="46" t="n">
        <v>243390000</v>
      </c>
      <c r="AW11" s="46" t="n">
        <v>0</v>
      </c>
      <c r="AX11" s="47" t="n">
        <v>0</v>
      </c>
      <c r="AY11" s="48" t="n">
        <f aca="false">SUMA(AU11:AX11)</f>
        <v>472176600</v>
      </c>
      <c r="AZ11" s="49"/>
      <c r="BA11" s="49"/>
      <c r="BB11" s="49" t="s">
        <v>65</v>
      </c>
      <c r="BC11" s="51" t="s">
        <v>94</v>
      </c>
    </row>
    <row collapsed="false" customFormat="true" customHeight="true" hidden="false" ht="37.5" outlineLevel="0" r="12" s="52">
      <c r="A12" s="34" t="n">
        <f aca="false">VLOOKUP(B12,['file:///Users/user/Downloads/10. MUSI BOSA CORTE 31 DE DICIEMBRE 2016_INSUMO CONTRALORIA.xls']Hoja2!$B$47:$C$66,2,0)</f>
        <v>7</v>
      </c>
      <c r="B12" s="35" t="s">
        <v>43</v>
      </c>
      <c r="C12" s="34" t="n">
        <f aca="false">VLOOKUP(D12,['file:///Users/user/Downloads/10. MUSI BOSA CORTE 31 DE DICIEMBRE 2016_INSUMO CONTRALORIA.xls']Hoja2!$B$8:$C$10,2,0)</f>
        <v>1</v>
      </c>
      <c r="D12" s="36" t="s">
        <v>44</v>
      </c>
      <c r="E12" s="34" t="n">
        <f aca="false">VLOOKUP(F12,['file:///Users/user/Downloads/10. MUSI BOSA CORTE 31 DE DICIEMBRE 2016_INSUMO CONTRALORIA.xls']Hoja2!$B$12:$C$40,2,0)</f>
        <v>4</v>
      </c>
      <c r="F12" s="36" t="s">
        <v>95</v>
      </c>
      <c r="G12" s="37" t="n">
        <v>333</v>
      </c>
      <c r="H12" s="36" t="s">
        <v>96</v>
      </c>
      <c r="I12" s="38" t="n">
        <f aca="false">VLOOKUP(J12,['file:///Users/user/Downloads/10. MUSI BOSA CORTE 31 DE DICIEMBRE 2016_INSUMO CONTRALORIA.xls']Hoja1!$D$81:$G$158,2,0)</f>
        <v>14</v>
      </c>
      <c r="J12" s="39" t="s">
        <v>97</v>
      </c>
      <c r="K12" s="54" t="n">
        <v>831</v>
      </c>
      <c r="L12" s="39" t="s">
        <v>98</v>
      </c>
      <c r="M12" s="38" t="n">
        <v>1</v>
      </c>
      <c r="N12" s="39" t="s">
        <v>56</v>
      </c>
      <c r="O12" s="40" t="n">
        <v>2000</v>
      </c>
      <c r="P12" s="36" t="s">
        <v>63</v>
      </c>
      <c r="Q12" s="36" t="s">
        <v>99</v>
      </c>
      <c r="R12" s="39" t="str">
        <f aca="false">VLOOKUP(J12,['file:///Users/user/Downloads/10. MUSI BOSA CORTE 31 DE DICIEMBRE 2016_INSUMO CONTRALORIA.xls']Hoja1!$D$81:$G$158,4,0)</f>
        <v>12. SECRETARÍA DE LA MUJER</v>
      </c>
      <c r="S12" s="39" t="str">
        <f aca="false">VLOOKUP(J12,['file:///Users/user/Downloads/10. MUSI BOSA CORTE 31 DE DICIEMBRE 2016_INSUMO CONTRALORIA.xls']Hoja1!$D$81:$G$158,3,0)</f>
        <v>Espacios y procesos de participación ciudadana fortalecidos </v>
      </c>
      <c r="T12" s="35" t="s">
        <v>52</v>
      </c>
      <c r="U12" s="41" t="n">
        <v>1</v>
      </c>
      <c r="V12" s="42" t="n">
        <f aca="false">AJ12/O12</f>
        <v>1.2275</v>
      </c>
      <c r="W12" s="42" t="n">
        <f aca="false">U12*V12</f>
        <v>1.2275</v>
      </c>
      <c r="X12" s="42" t="n">
        <f aca="false">AO12/O12</f>
        <v>1.1595</v>
      </c>
      <c r="Y12" s="42" t="n">
        <f aca="false">X12*U12</f>
        <v>1.1595</v>
      </c>
      <c r="Z12" s="38" t="n">
        <v>0</v>
      </c>
      <c r="AA12" s="40" t="n">
        <v>500</v>
      </c>
      <c r="AB12" s="40" t="n">
        <v>500</v>
      </c>
      <c r="AC12" s="40" t="n">
        <v>500</v>
      </c>
      <c r="AD12" s="40" t="n">
        <v>500</v>
      </c>
      <c r="AE12" s="40" t="n">
        <f aca="false">SI(T12="Constante";PROMEDIO(AA12;AB12;AC12;AD12);SI(T12="Suma";SUMA(AA12;AB12;AC12;AD12);0))</f>
        <v>2000</v>
      </c>
      <c r="AF12" s="40" t="n">
        <v>410</v>
      </c>
      <c r="AG12" s="40" t="n">
        <v>520</v>
      </c>
      <c r="AH12" s="43" t="n">
        <v>925</v>
      </c>
      <c r="AI12" s="44" t="n">
        <v>600</v>
      </c>
      <c r="AJ12" s="40" t="n">
        <f aca="false">SI(T12="Constante";PROMEDIO(AF12;AG12;AH12;AI12);SI(T12="Suma";SUMA(AF12;AG12;AH12;AI12);0))</f>
        <v>2455</v>
      </c>
      <c r="AK12" s="40" t="n">
        <v>737</v>
      </c>
      <c r="AL12" s="43" t="n">
        <v>657</v>
      </c>
      <c r="AM12" s="45" t="n">
        <v>925</v>
      </c>
      <c r="AN12" s="45" t="n">
        <v>0</v>
      </c>
      <c r="AO12" s="40" t="n">
        <f aca="false">SI(T12="Constante";PROMEDIO(AK12;AL12;AM12;AN12);SI(T12="Suma";SUMA(AK12;AL12;AM12;AN12);0))</f>
        <v>2319</v>
      </c>
      <c r="AP12" s="46" t="n">
        <v>175000000</v>
      </c>
      <c r="AQ12" s="46" t="n">
        <v>141999997</v>
      </c>
      <c r="AR12" s="46" t="n">
        <v>60000000</v>
      </c>
      <c r="AS12" s="47" t="n">
        <v>190984872</v>
      </c>
      <c r="AT12" s="46" t="n">
        <f aca="false">SUMA(AP12:AS12)</f>
        <v>567984869</v>
      </c>
      <c r="AU12" s="46" t="n">
        <v>0</v>
      </c>
      <c r="AV12" s="46" t="n">
        <v>0</v>
      </c>
      <c r="AW12" s="46" t="n">
        <v>60000000</v>
      </c>
      <c r="AX12" s="47" t="n">
        <v>0</v>
      </c>
      <c r="AY12" s="48" t="n">
        <f aca="false">SUMA(AU12:AX12)</f>
        <v>60000000</v>
      </c>
      <c r="AZ12" s="49"/>
      <c r="BA12" s="49"/>
      <c r="BB12" s="49" t="s">
        <v>65</v>
      </c>
      <c r="BC12" s="51"/>
    </row>
    <row collapsed="false" customFormat="true" customHeight="true" hidden="false" ht="37.5" outlineLevel="0" r="13" s="52">
      <c r="A13" s="34" t="n">
        <f aca="false">VLOOKUP(B13,['file:///Users/user/Downloads/10. MUSI BOSA CORTE 31 DE DICIEMBRE 2016_INSUMO CONTRALORIA.xls']Hoja2!$B$47:$C$66,2,0)</f>
        <v>7</v>
      </c>
      <c r="B13" s="35" t="s">
        <v>43</v>
      </c>
      <c r="C13" s="34" t="n">
        <f aca="false">VLOOKUP(D13,['file:///Users/user/Downloads/10. MUSI BOSA CORTE 31 DE DICIEMBRE 2016_INSUMO CONTRALORIA.xls']Hoja2!$B$8:$C$10,2,0)</f>
        <v>1</v>
      </c>
      <c r="D13" s="36" t="s">
        <v>44</v>
      </c>
      <c r="E13" s="34" t="n">
        <f aca="false">VLOOKUP(F13,['file:///Users/user/Downloads/10. MUSI BOSA CORTE 31 DE DICIEMBRE 2016_INSUMO CONTRALORIA.xls']Hoja2!$B$12:$C$40,2,0)</f>
        <v>5</v>
      </c>
      <c r="F13" s="36" t="s">
        <v>100</v>
      </c>
      <c r="G13" s="37" t="n">
        <v>334</v>
      </c>
      <c r="H13" s="36" t="s">
        <v>101</v>
      </c>
      <c r="I13" s="38" t="n">
        <f aca="false">VLOOKUP(J13,['file:///Users/user/Downloads/10. MUSI BOSA CORTE 31 DE DICIEMBRE 2016_INSUMO CONTRALORIA.xls']Hoja1!$D$81:$G$158,2,0)</f>
        <v>69</v>
      </c>
      <c r="J13" s="39" t="s">
        <v>102</v>
      </c>
      <c r="K13" s="38" t="n">
        <v>832</v>
      </c>
      <c r="L13" s="39" t="s">
        <v>103</v>
      </c>
      <c r="M13" s="38" t="n">
        <v>3</v>
      </c>
      <c r="N13" s="39" t="s">
        <v>56</v>
      </c>
      <c r="O13" s="40" t="n">
        <v>800</v>
      </c>
      <c r="P13" s="36" t="s">
        <v>63</v>
      </c>
      <c r="Q13" s="36" t="s">
        <v>104</v>
      </c>
      <c r="R13" s="39" t="str">
        <f aca="false">VLOOKUP(J13,['file:///Users/user/Downloads/10. MUSI BOSA CORTE 31 DE DICIEMBRE 2016_INSUMO CONTRALORIA.xls']Hoja1!$D$81:$G$158,4,0)</f>
        <v>5. GOBIERNO </v>
      </c>
      <c r="S13" s="39" t="str">
        <f aca="false">VLOOKUP(J13,['file:///Users/user/Downloads/10. MUSI BOSA CORTE 31 DE DICIEMBRE 2016_INSUMO CONTRALORIA.xls']Hoja1!$D$81:$G$158,3,0)</f>
        <v>Prevención, atención y gestión del conflicto en la localidad</v>
      </c>
      <c r="T13" s="35" t="s">
        <v>52</v>
      </c>
      <c r="U13" s="41" t="n">
        <v>1</v>
      </c>
      <c r="V13" s="42" t="n">
        <f aca="false">AJ13/O13</f>
        <v>3.04375</v>
      </c>
      <c r="W13" s="42" t="n">
        <f aca="false">U13*V13</f>
        <v>3.04375</v>
      </c>
      <c r="X13" s="42" t="n">
        <f aca="false">AO13/O13</f>
        <v>1.86875</v>
      </c>
      <c r="Y13" s="42" t="n">
        <f aca="false">X13*U13</f>
        <v>1.86875</v>
      </c>
      <c r="Z13" s="38" t="n">
        <v>0</v>
      </c>
      <c r="AA13" s="40" t="n">
        <v>200</v>
      </c>
      <c r="AB13" s="40" t="n">
        <v>200</v>
      </c>
      <c r="AC13" s="40" t="n">
        <v>200</v>
      </c>
      <c r="AD13" s="40" t="n">
        <v>200</v>
      </c>
      <c r="AE13" s="40" t="n">
        <f aca="false">SI(T13="Constante";PROMEDIO(AA13;AB13;AC13;AD13);SI(T13="Suma";SUMA(AA13;AB13;AC13;AD13);0))</f>
        <v>800</v>
      </c>
      <c r="AF13" s="40" t="n">
        <v>400</v>
      </c>
      <c r="AG13" s="40" t="n">
        <v>35</v>
      </c>
      <c r="AH13" s="43" t="n">
        <v>1000</v>
      </c>
      <c r="AI13" s="44" t="n">
        <v>1000</v>
      </c>
      <c r="AJ13" s="40" t="n">
        <f aca="false">SI(T13="Constante";PROMEDIO(AF13;AG13;AH13;AI13);SI(T13="Suma";SUMA(AF13;AG13;AH13;AI13);0))</f>
        <v>2435</v>
      </c>
      <c r="AK13" s="40" t="n">
        <v>400</v>
      </c>
      <c r="AL13" s="43" t="n">
        <v>35</v>
      </c>
      <c r="AM13" s="45" t="n">
        <v>1060</v>
      </c>
      <c r="AN13" s="45" t="n">
        <v>0</v>
      </c>
      <c r="AO13" s="40" t="n">
        <f aca="false">SI(T13="Constante";PROMEDIO(AK13;AL13;AM13;AN13);SI(T13="Suma";SUMA(AK13;AL13;AM13;AN13);0))</f>
        <v>1495</v>
      </c>
      <c r="AP13" s="46" t="n">
        <v>66000000</v>
      </c>
      <c r="AQ13" s="46" t="n">
        <v>100000000</v>
      </c>
      <c r="AR13" s="46" t="n">
        <v>79500000</v>
      </c>
      <c r="AS13" s="47" t="n">
        <v>89810000</v>
      </c>
      <c r="AT13" s="46" t="n">
        <f aca="false">SUMA(AP13:AS13)</f>
        <v>335310000</v>
      </c>
      <c r="AU13" s="46" t="n">
        <v>0</v>
      </c>
      <c r="AV13" s="46" t="n">
        <v>0</v>
      </c>
      <c r="AW13" s="46" t="n">
        <v>79500000</v>
      </c>
      <c r="AX13" s="47" t="n">
        <v>0</v>
      </c>
      <c r="AY13" s="48" t="n">
        <f aca="false">SUMA(AU13:AX13)</f>
        <v>79500000</v>
      </c>
      <c r="AZ13" s="49"/>
      <c r="BA13" s="49"/>
      <c r="BB13" s="49" t="s">
        <v>65</v>
      </c>
      <c r="BC13" s="51"/>
    </row>
    <row collapsed="false" customFormat="true" customHeight="true" hidden="false" ht="37.5" outlineLevel="0" r="14" s="52">
      <c r="A14" s="34" t="n">
        <f aca="false">VLOOKUP(B14,['file:///Users/user/Downloads/10. MUSI BOSA CORTE 31 DE DICIEMBRE 2016_INSUMO CONTRALORIA.xls']Hoja2!$B$47:$C$66,2,0)</f>
        <v>7</v>
      </c>
      <c r="B14" s="35" t="s">
        <v>43</v>
      </c>
      <c r="C14" s="34" t="n">
        <f aca="false">VLOOKUP(D14,['file:///Users/user/Downloads/10. MUSI BOSA CORTE 31 DE DICIEMBRE 2016_INSUMO CONTRALORIA.xls']Hoja2!$B$8:$C$10,2,0)</f>
        <v>1</v>
      </c>
      <c r="D14" s="36" t="s">
        <v>44</v>
      </c>
      <c r="E14" s="34" t="n">
        <f aca="false">VLOOKUP(F14,['file:///Users/user/Downloads/10. MUSI BOSA CORTE 31 DE DICIEMBRE 2016_INSUMO CONTRALORIA.xls']Hoja2!$B$12:$C$40,2,0)</f>
        <v>5</v>
      </c>
      <c r="F14" s="36" t="s">
        <v>100</v>
      </c>
      <c r="G14" s="37" t="n">
        <v>335</v>
      </c>
      <c r="H14" s="36" t="s">
        <v>105</v>
      </c>
      <c r="I14" s="38" t="n">
        <f aca="false">VLOOKUP(J14,['file:///Users/user/Downloads/10. MUSI BOSA CORTE 31 DE DICIEMBRE 2016_INSUMO CONTRALORIA.xls']Hoja1!$D$81:$G$158,2,0)</f>
        <v>69</v>
      </c>
      <c r="J14" s="39" t="s">
        <v>102</v>
      </c>
      <c r="K14" s="38" t="n">
        <v>832</v>
      </c>
      <c r="L14" s="39" t="s">
        <v>103</v>
      </c>
      <c r="M14" s="38" t="n">
        <v>4</v>
      </c>
      <c r="N14" s="39" t="s">
        <v>56</v>
      </c>
      <c r="O14" s="40" t="n">
        <v>4000</v>
      </c>
      <c r="P14" s="36" t="s">
        <v>63</v>
      </c>
      <c r="Q14" s="36" t="s">
        <v>106</v>
      </c>
      <c r="R14" s="39" t="str">
        <f aca="false">VLOOKUP(J14,['file:///Users/user/Downloads/10. MUSI BOSA CORTE 31 DE DICIEMBRE 2016_INSUMO CONTRALORIA.xls']Hoja1!$D$81:$G$158,4,0)</f>
        <v>5. GOBIERNO </v>
      </c>
      <c r="S14" s="39" t="str">
        <f aca="false">VLOOKUP(J14,['file:///Users/user/Downloads/10. MUSI BOSA CORTE 31 DE DICIEMBRE 2016_INSUMO CONTRALORIA.xls']Hoja1!$D$81:$G$158,3,0)</f>
        <v>Prevención, atención y gestión del conflicto en la localidad</v>
      </c>
      <c r="T14" s="35" t="s">
        <v>52</v>
      </c>
      <c r="U14" s="41" t="n">
        <v>1</v>
      </c>
      <c r="V14" s="42" t="n">
        <f aca="false">AJ14/O14</f>
        <v>2.35</v>
      </c>
      <c r="W14" s="42" t="n">
        <f aca="false">U14*V14</f>
        <v>2.35</v>
      </c>
      <c r="X14" s="42" t="n">
        <f aca="false">AO14/O14</f>
        <v>2.67525</v>
      </c>
      <c r="Y14" s="42" t="n">
        <f aca="false">X14*U14</f>
        <v>2.67525</v>
      </c>
      <c r="Z14" s="38" t="n">
        <v>0</v>
      </c>
      <c r="AA14" s="40" t="n">
        <v>1000</v>
      </c>
      <c r="AB14" s="40" t="n">
        <v>1000</v>
      </c>
      <c r="AC14" s="40" t="n">
        <v>1000</v>
      </c>
      <c r="AD14" s="40" t="n">
        <v>1000</v>
      </c>
      <c r="AE14" s="40" t="n">
        <f aca="false">SI(T14="Constante";PROMEDIO(AA14;AB14;AC14;AD14);SI(T14="Suma";SUMA(AA14;AB14;AC14;AD14);0))</f>
        <v>4000</v>
      </c>
      <c r="AF14" s="40" t="n">
        <v>400</v>
      </c>
      <c r="AG14" s="40" t="n">
        <v>5000</v>
      </c>
      <c r="AH14" s="43" t="n">
        <f aca="false">3000</f>
        <v>3000</v>
      </c>
      <c r="AI14" s="44" t="n">
        <v>1000</v>
      </c>
      <c r="AJ14" s="40" t="n">
        <f aca="false">SI(T14="Constante";PROMEDIO(AF14;AG14;AH14;AI14);SI(T14="Suma";SUMA(AF14;AG14;AH14;AI14);0))</f>
        <v>9400</v>
      </c>
      <c r="AK14" s="40" t="n">
        <v>400</v>
      </c>
      <c r="AL14" s="43" t="n">
        <f aca="false">1885+2225+2321+2134</f>
        <v>8565</v>
      </c>
      <c r="AM14" s="45" t="n">
        <v>1736</v>
      </c>
      <c r="AN14" s="45" t="n">
        <v>0</v>
      </c>
      <c r="AO14" s="40" t="n">
        <f aca="false">SI(T14="Constante";PROMEDIO(AK14;AL14;AM14;AN14);SI(T14="Suma";SUMA(AK14;AL14;AM14;AN14);0))</f>
        <v>10701</v>
      </c>
      <c r="AP14" s="46" t="n">
        <v>104088000</v>
      </c>
      <c r="AQ14" s="46" t="n">
        <v>404720000</v>
      </c>
      <c r="AR14" s="46" t="n">
        <v>370000000</v>
      </c>
      <c r="AS14" s="47" t="n">
        <f aca="false">644512450+9650000</f>
        <v>654162450</v>
      </c>
      <c r="AT14" s="46" t="n">
        <f aca="false">SUMA(AP14:AS14)</f>
        <v>1532970450</v>
      </c>
      <c r="AU14" s="46" t="n">
        <v>0</v>
      </c>
      <c r="AV14" s="46" t="n">
        <v>168333360</v>
      </c>
      <c r="AW14" s="46" t="n">
        <v>53979000</v>
      </c>
      <c r="AX14" s="47" t="n">
        <v>0</v>
      </c>
      <c r="AY14" s="48" t="n">
        <f aca="false">SUMA(AU14:AX14)</f>
        <v>222312360</v>
      </c>
      <c r="AZ14" s="49"/>
      <c r="BA14" s="49"/>
      <c r="BB14" s="49" t="s">
        <v>107</v>
      </c>
      <c r="BC14" s="51" t="s">
        <v>108</v>
      </c>
    </row>
    <row collapsed="false" customFormat="true" customHeight="true" hidden="false" ht="37.5" outlineLevel="0" r="15" s="52">
      <c r="A15" s="34" t="n">
        <f aca="false">VLOOKUP(B15,['file:///Users/user/Downloads/10. MUSI BOSA CORTE 31 DE DICIEMBRE 2016_INSUMO CONTRALORIA.xls']Hoja2!$B$47:$C$66,2,0)</f>
        <v>7</v>
      </c>
      <c r="B15" s="35" t="s">
        <v>43</v>
      </c>
      <c r="C15" s="34" t="n">
        <f aca="false">VLOOKUP(D15,['file:///Users/user/Downloads/10. MUSI BOSA CORTE 31 DE DICIEMBRE 2016_INSUMO CONTRALORIA.xls']Hoja2!$B$8:$C$10,2,0)</f>
        <v>1</v>
      </c>
      <c r="D15" s="36" t="s">
        <v>44</v>
      </c>
      <c r="E15" s="34" t="n">
        <f aca="false">VLOOKUP(F15,['file:///Users/user/Downloads/10. MUSI BOSA CORTE 31 DE DICIEMBRE 2016_INSUMO CONTRALORIA.xls']Hoja2!$B$12:$C$40,2,0)</f>
        <v>5</v>
      </c>
      <c r="F15" s="36" t="s">
        <v>100</v>
      </c>
      <c r="G15" s="37" t="n">
        <v>336</v>
      </c>
      <c r="H15" s="36" t="s">
        <v>109</v>
      </c>
      <c r="I15" s="38" t="n">
        <f aca="false">VLOOKUP(J15,['file:///Users/user/Downloads/10. MUSI BOSA CORTE 31 DE DICIEMBRE 2016_INSUMO CONTRALORIA.xls']Hoja1!$D$81:$G$158,2,0)</f>
        <v>15</v>
      </c>
      <c r="J15" s="39" t="s">
        <v>110</v>
      </c>
      <c r="K15" s="38" t="n">
        <v>832</v>
      </c>
      <c r="L15" s="39" t="s">
        <v>103</v>
      </c>
      <c r="M15" s="38" t="n">
        <v>1</v>
      </c>
      <c r="N15" s="39" t="s">
        <v>56</v>
      </c>
      <c r="O15" s="40" t="n">
        <v>4000</v>
      </c>
      <c r="P15" s="36" t="s">
        <v>63</v>
      </c>
      <c r="Q15" s="36" t="s">
        <v>111</v>
      </c>
      <c r="R15" s="39" t="str">
        <f aca="false">VLOOKUP(J15,['file:///Users/user/Downloads/10. MUSI BOSA CORTE 31 DE DICIEMBRE 2016_INSUMO CONTRALORIA.xls']Hoja1!$D$81:$G$158,4,0)</f>
        <v>5. GOBIERNO </v>
      </c>
      <c r="S15" s="39" t="str">
        <f aca="false">VLOOKUP(J15,['file:///Users/user/Downloads/10. MUSI BOSA CORTE 31 DE DICIEMBRE 2016_INSUMO CONTRALORIA.xls']Hoja1!$D$81:$G$158,3,0)</f>
        <v>Espacios y procesos de participación ciudadana fortalecidos </v>
      </c>
      <c r="T15" s="35" t="s">
        <v>52</v>
      </c>
      <c r="U15" s="41" t="n">
        <v>1</v>
      </c>
      <c r="V15" s="42" t="n">
        <f aca="false">AJ15/O15</f>
        <v>0.83775</v>
      </c>
      <c r="W15" s="42" t="n">
        <f aca="false">U15*V15</f>
        <v>0.83775</v>
      </c>
      <c r="X15" s="42" t="n">
        <f aca="false">AO15/O15</f>
        <v>1.07825</v>
      </c>
      <c r="Y15" s="42" t="n">
        <f aca="false">X15*U15</f>
        <v>1.07825</v>
      </c>
      <c r="Z15" s="38" t="n">
        <v>0</v>
      </c>
      <c r="AA15" s="40" t="n">
        <v>1000</v>
      </c>
      <c r="AB15" s="40" t="n">
        <v>1000</v>
      </c>
      <c r="AC15" s="40" t="n">
        <v>1000</v>
      </c>
      <c r="AD15" s="40" t="n">
        <v>1000</v>
      </c>
      <c r="AE15" s="40" t="n">
        <f aca="false">SI(T15="Constante";PROMEDIO(AA15;AB15;AC15;AD15);SI(T15="Suma";SUMA(AA15;AB15;AC15;AD15);0))</f>
        <v>4000</v>
      </c>
      <c r="AF15" s="40" t="n">
        <v>1000</v>
      </c>
      <c r="AG15" s="40" t="n">
        <f aca="false">1365+436</f>
        <v>1801</v>
      </c>
      <c r="AH15" s="43" t="n">
        <v>550</v>
      </c>
      <c r="AI15" s="44" t="n">
        <v>0</v>
      </c>
      <c r="AJ15" s="40" t="n">
        <f aca="false">SI(T15="Constante";PROMEDIO(AF15;AG15;AH15;AI15);SI(T15="Suma";SUMA(AF15;AG15;AH15;AI15);0))</f>
        <v>3351</v>
      </c>
      <c r="AK15" s="40" t="n">
        <v>1996</v>
      </c>
      <c r="AL15" s="43" t="n">
        <f aca="false">1331+906</f>
        <v>2237</v>
      </c>
      <c r="AM15" s="45" t="n">
        <v>80</v>
      </c>
      <c r="AN15" s="45" t="n">
        <v>0</v>
      </c>
      <c r="AO15" s="40" t="n">
        <f aca="false">SI(T15="Constante";PROMEDIO(AK15;AL15;AM15;AN15);SI(T15="Suma";SUMA(AK15;AL15;AM15;AN15);0))</f>
        <v>4313</v>
      </c>
      <c r="AP15" s="46" t="n">
        <v>332171000</v>
      </c>
      <c r="AQ15" s="46" t="n">
        <v>227767373</v>
      </c>
      <c r="AR15" s="46" t="n">
        <v>160790116</v>
      </c>
      <c r="AS15" s="47" t="n">
        <v>0</v>
      </c>
      <c r="AT15" s="46" t="n">
        <f aca="false">SUMA(AP15:AS15)</f>
        <v>720728489</v>
      </c>
      <c r="AU15" s="46" t="n">
        <v>0</v>
      </c>
      <c r="AV15" s="46" t="n">
        <v>10471874</v>
      </c>
      <c r="AW15" s="46" t="n">
        <v>0</v>
      </c>
      <c r="AX15" s="47" t="n">
        <v>0</v>
      </c>
      <c r="AY15" s="48" t="n">
        <f aca="false">SUMA(AU15:AX15)</f>
        <v>10471874</v>
      </c>
      <c r="AZ15" s="49"/>
      <c r="BA15" s="49"/>
      <c r="BB15" s="49" t="s">
        <v>65</v>
      </c>
      <c r="BC15" s="51" t="s">
        <v>112</v>
      </c>
    </row>
    <row collapsed="false" customFormat="true" customHeight="true" hidden="false" ht="37.5" outlineLevel="0" r="16" s="52">
      <c r="A16" s="34" t="n">
        <f aca="false">VLOOKUP(B16,['file:///Users/user/Downloads/10. MUSI BOSA CORTE 31 DE DICIEMBRE 2016_INSUMO CONTRALORIA.xls']Hoja2!$B$47:$C$66,2,0)</f>
        <v>7</v>
      </c>
      <c r="B16" s="35" t="s">
        <v>43</v>
      </c>
      <c r="C16" s="34" t="n">
        <f aca="false">VLOOKUP(D16,['file:///Users/user/Downloads/10. MUSI BOSA CORTE 31 DE DICIEMBRE 2016_INSUMO CONTRALORIA.xls']Hoja2!$B$8:$C$10,2,0)</f>
        <v>1</v>
      </c>
      <c r="D16" s="36" t="s">
        <v>44</v>
      </c>
      <c r="E16" s="34" t="n">
        <f aca="false">VLOOKUP(F16,['file:///Users/user/Downloads/10. MUSI BOSA CORTE 31 DE DICIEMBRE 2016_INSUMO CONTRALORIA.xls']Hoja2!$B$12:$C$40,2,0)</f>
        <v>5</v>
      </c>
      <c r="F16" s="36" t="s">
        <v>100</v>
      </c>
      <c r="G16" s="37" t="n">
        <v>337</v>
      </c>
      <c r="H16" s="36" t="s">
        <v>113</v>
      </c>
      <c r="I16" s="38" t="n">
        <f aca="false">VLOOKUP(J16,['file:///Users/user/Downloads/10. MUSI BOSA CORTE 31 DE DICIEMBRE 2016_INSUMO CONTRALORIA.xls']Hoja1!$D$81:$G$158,2,0)</f>
        <v>18</v>
      </c>
      <c r="J16" s="39" t="s">
        <v>114</v>
      </c>
      <c r="K16" s="38" t="n">
        <v>832</v>
      </c>
      <c r="L16" s="39" t="s">
        <v>103</v>
      </c>
      <c r="M16" s="38" t="n">
        <v>5</v>
      </c>
      <c r="N16" s="39" t="s">
        <v>115</v>
      </c>
      <c r="O16" s="40" t="n">
        <v>40</v>
      </c>
      <c r="P16" s="36" t="s">
        <v>116</v>
      </c>
      <c r="Q16" s="36" t="s">
        <v>117</v>
      </c>
      <c r="R16" s="39" t="str">
        <f aca="false">VLOOKUP(J16,['file:///Users/user/Downloads/10. MUSI BOSA CORTE 31 DE DICIEMBRE 2016_INSUMO CONTRALORIA.xls']Hoja1!$D$81:$G$158,4,0)</f>
        <v>10. SDIS</v>
      </c>
      <c r="S16" s="39" t="str">
        <f aca="false">VLOOKUP(J16,['file:///Users/user/Downloads/10. MUSI BOSA CORTE 31 DE DICIEMBRE 2016_INSUMO CONTRALORIA.xls']Hoja1!$D$81:$G$158,3,0)</f>
        <v>Protección  integral a personas y familias en situación de vulneración</v>
      </c>
      <c r="T16" s="35" t="s">
        <v>52</v>
      </c>
      <c r="U16" s="41" t="n">
        <v>1</v>
      </c>
      <c r="V16" s="42" t="n">
        <f aca="false">AJ16/O16</f>
        <v>1</v>
      </c>
      <c r="W16" s="42" t="n">
        <f aca="false">U16*V16</f>
        <v>1</v>
      </c>
      <c r="X16" s="42" t="n">
        <f aca="false">AO16/O16</f>
        <v>1</v>
      </c>
      <c r="Y16" s="42" t="n">
        <f aca="false">X16*U16</f>
        <v>1</v>
      </c>
      <c r="Z16" s="38" t="n">
        <v>0</v>
      </c>
      <c r="AA16" s="40" t="n">
        <v>10</v>
      </c>
      <c r="AB16" s="40" t="n">
        <v>10</v>
      </c>
      <c r="AC16" s="40" t="n">
        <v>10</v>
      </c>
      <c r="AD16" s="40" t="n">
        <v>10</v>
      </c>
      <c r="AE16" s="40" t="n">
        <f aca="false">SI(T16="Constante";PROMEDIO(AA16;AB16;AC16;AD16);SI(T16="Suma";SUMA(AA16;AB16;AC16;AD16);0))</f>
        <v>40</v>
      </c>
      <c r="AF16" s="40" t="n">
        <v>10</v>
      </c>
      <c r="AG16" s="40" t="n">
        <v>20</v>
      </c>
      <c r="AH16" s="43" t="n">
        <v>10</v>
      </c>
      <c r="AI16" s="44" t="n">
        <v>0</v>
      </c>
      <c r="AJ16" s="40" t="n">
        <f aca="false">SI(T16="Constante";PROMEDIO(AF16;AG16;AH16;AI16);SI(T16="Suma";SUMA(AF16;AG16;AH16;AI16);0))</f>
        <v>40</v>
      </c>
      <c r="AK16" s="40" t="n">
        <v>10</v>
      </c>
      <c r="AL16" s="43" t="n">
        <v>20</v>
      </c>
      <c r="AM16" s="45" t="n">
        <v>10</v>
      </c>
      <c r="AN16" s="45" t="n">
        <v>0</v>
      </c>
      <c r="AO16" s="40" t="n">
        <f aca="false">SI(T16="Constante";PROMEDIO(AK16;AL16;AM16;AN16);SI(T16="Suma";SUMA(AK16;AL16;AM16;AN16);0))</f>
        <v>40</v>
      </c>
      <c r="AP16" s="46" t="n">
        <v>196000000</v>
      </c>
      <c r="AQ16" s="46" t="n">
        <v>230000000</v>
      </c>
      <c r="AR16" s="46" t="n">
        <v>107000000</v>
      </c>
      <c r="AS16" s="47" t="n">
        <v>0</v>
      </c>
      <c r="AT16" s="46" t="n">
        <f aca="false">SUMA(AP16:AS16)</f>
        <v>533000000</v>
      </c>
      <c r="AU16" s="46" t="n">
        <v>0</v>
      </c>
      <c r="AV16" s="46" t="n">
        <v>0</v>
      </c>
      <c r="AW16" s="46" t="n">
        <v>0</v>
      </c>
      <c r="AX16" s="47" t="n">
        <v>0</v>
      </c>
      <c r="AY16" s="48" t="n">
        <f aca="false">SUMA(AU16:AX16)</f>
        <v>0</v>
      </c>
      <c r="AZ16" s="49"/>
      <c r="BA16" s="49"/>
      <c r="BB16" s="49" t="s">
        <v>65</v>
      </c>
      <c r="BC16" s="51" t="s">
        <v>118</v>
      </c>
    </row>
    <row collapsed="false" customFormat="true" customHeight="true" hidden="false" ht="37.5" outlineLevel="0" r="17" s="52">
      <c r="A17" s="34" t="n">
        <f aca="false">VLOOKUP(B17,['file:///Users/user/Downloads/10. MUSI BOSA CORTE 31 DE DICIEMBRE 2016_INSUMO CONTRALORIA.xls']Hoja2!$B$47:$C$66,2,0)</f>
        <v>7</v>
      </c>
      <c r="B17" s="35" t="s">
        <v>43</v>
      </c>
      <c r="C17" s="34" t="n">
        <f aca="false">VLOOKUP(D17,['file:///Users/user/Downloads/10. MUSI BOSA CORTE 31 DE DICIEMBRE 2016_INSUMO CONTRALORIA.xls']Hoja2!$B$8:$C$10,2,0)</f>
        <v>1</v>
      </c>
      <c r="D17" s="36" t="s">
        <v>44</v>
      </c>
      <c r="E17" s="34" t="n">
        <f aca="false">VLOOKUP(F17,['file:///Users/user/Downloads/10. MUSI BOSA CORTE 31 DE DICIEMBRE 2016_INSUMO CONTRALORIA.xls']Hoja2!$B$12:$C$40,2,0)</f>
        <v>5</v>
      </c>
      <c r="F17" s="36" t="s">
        <v>100</v>
      </c>
      <c r="G17" s="37" t="n">
        <v>339</v>
      </c>
      <c r="H17" s="36" t="s">
        <v>119</v>
      </c>
      <c r="I17" s="38" t="n">
        <f aca="false">VLOOKUP(J17,['file:///Users/user/Downloads/10. MUSI BOSA CORTE 31 DE DICIEMBRE 2016_INSUMO CONTRALORIA.xls']Hoja1!$D$81:$G$158,2,0)</f>
        <v>15</v>
      </c>
      <c r="J17" s="39" t="s">
        <v>110</v>
      </c>
      <c r="K17" s="38" t="n">
        <v>832</v>
      </c>
      <c r="L17" s="39" t="s">
        <v>103</v>
      </c>
      <c r="M17" s="38" t="n">
        <v>2</v>
      </c>
      <c r="N17" s="39" t="s">
        <v>56</v>
      </c>
      <c r="O17" s="40" t="n">
        <v>1600</v>
      </c>
      <c r="P17" s="36" t="s">
        <v>63</v>
      </c>
      <c r="Q17" s="36" t="s">
        <v>120</v>
      </c>
      <c r="R17" s="39" t="str">
        <f aca="false">VLOOKUP(J17,['file:///Users/user/Downloads/10. MUSI BOSA CORTE 31 DE DICIEMBRE 2016_INSUMO CONTRALORIA.xls']Hoja1!$D$81:$G$158,4,0)</f>
        <v>5. GOBIERNO </v>
      </c>
      <c r="S17" s="39" t="str">
        <f aca="false">VLOOKUP(J17,['file:///Users/user/Downloads/10. MUSI BOSA CORTE 31 DE DICIEMBRE 2016_INSUMO CONTRALORIA.xls']Hoja1!$D$81:$G$158,3,0)</f>
        <v>Espacios y procesos de participación ciudadana fortalecidos </v>
      </c>
      <c r="T17" s="35" t="s">
        <v>52</v>
      </c>
      <c r="U17" s="41" t="n">
        <v>1</v>
      </c>
      <c r="V17" s="42" t="n">
        <f aca="false">AJ17/O17</f>
        <v>1.12625</v>
      </c>
      <c r="W17" s="42" t="n">
        <f aca="false">U17*V17</f>
        <v>1.12625</v>
      </c>
      <c r="X17" s="42" t="n">
        <f aca="false">AO17/O17</f>
        <v>1.148125</v>
      </c>
      <c r="Y17" s="42" t="n">
        <f aca="false">X17*U17</f>
        <v>1.148125</v>
      </c>
      <c r="Z17" s="38" t="n">
        <v>0</v>
      </c>
      <c r="AA17" s="40" t="n">
        <v>400</v>
      </c>
      <c r="AB17" s="40" t="n">
        <v>400</v>
      </c>
      <c r="AC17" s="40" t="n">
        <v>400</v>
      </c>
      <c r="AD17" s="40" t="n">
        <v>400</v>
      </c>
      <c r="AE17" s="40" t="n">
        <f aca="false">SI(T17="Constante";PROMEDIO(AA17;AB17;AC17;AD17);SI(T17="Suma";SUMA(AA17;AB17;AC17;AD17);0))</f>
        <v>1600</v>
      </c>
      <c r="AF17" s="40" t="n">
        <v>400</v>
      </c>
      <c r="AG17" s="40" t="n">
        <v>1002</v>
      </c>
      <c r="AH17" s="43" t="n">
        <v>0</v>
      </c>
      <c r="AI17" s="44" t="n">
        <v>400</v>
      </c>
      <c r="AJ17" s="40" t="n">
        <f aca="false">SI(T17="Constante";PROMEDIO(AF17;AG17;AH17;AI17);SI(T17="Suma";SUMA(AF17;AG17;AH17;AI17);0))</f>
        <v>1802</v>
      </c>
      <c r="AK17" s="40" t="n">
        <v>410</v>
      </c>
      <c r="AL17" s="43" t="n">
        <v>1427</v>
      </c>
      <c r="AM17" s="45" t="n">
        <v>0</v>
      </c>
      <c r="AN17" s="45" t="n">
        <v>0</v>
      </c>
      <c r="AO17" s="40" t="n">
        <f aca="false">SI(T17="Constante";PROMEDIO(AK17;AL17;AM17;AN17);SI(T17="Suma";SUMA(AK17;AL17;AM17;AN17);0))</f>
        <v>1837</v>
      </c>
      <c r="AP17" s="46" t="n">
        <v>139810000</v>
      </c>
      <c r="AQ17" s="46" t="n">
        <v>143341819</v>
      </c>
      <c r="AR17" s="46" t="n">
        <v>0</v>
      </c>
      <c r="AS17" s="47" t="n">
        <v>171755000</v>
      </c>
      <c r="AT17" s="46" t="n">
        <f aca="false">SUMA(AP17:AS17)</f>
        <v>454906819</v>
      </c>
      <c r="AU17" s="46" t="n">
        <v>0</v>
      </c>
      <c r="AV17" s="46" t="n">
        <v>0</v>
      </c>
      <c r="AW17" s="46" t="n">
        <v>0</v>
      </c>
      <c r="AX17" s="47" t="n">
        <v>0</v>
      </c>
      <c r="AY17" s="48" t="n">
        <f aca="false">SUMA(AU17:AX17)</f>
        <v>0</v>
      </c>
      <c r="AZ17" s="49"/>
      <c r="BA17" s="49"/>
      <c r="BB17" s="49" t="s">
        <v>65</v>
      </c>
      <c r="BC17" s="51"/>
    </row>
    <row collapsed="false" customFormat="true" customHeight="true" hidden="false" ht="37.5" outlineLevel="0" r="18" s="52">
      <c r="A18" s="34" t="n">
        <f aca="false">VLOOKUP(B18,['file:///Users/user/Downloads/10. MUSI BOSA CORTE 31 DE DICIEMBRE 2016_INSUMO CONTRALORIA.xls']Hoja2!$B$47:$C$66,2,0)</f>
        <v>7</v>
      </c>
      <c r="B18" s="35" t="s">
        <v>43</v>
      </c>
      <c r="C18" s="34" t="n">
        <f aca="false">VLOOKUP(D18,['file:///Users/user/Downloads/10. MUSI BOSA CORTE 31 DE DICIEMBRE 2016_INSUMO CONTRALORIA.xls']Hoja2!$B$8:$C$10,2,0)</f>
        <v>1</v>
      </c>
      <c r="D18" s="36" t="s">
        <v>44</v>
      </c>
      <c r="E18" s="34" t="n">
        <f aca="false">VLOOKUP(F18,['file:///Users/user/Downloads/10. MUSI BOSA CORTE 31 DE DICIEMBRE 2016_INSUMO CONTRALORIA.xls']Hoja2!$B$12:$C$40,2,0)</f>
        <v>5</v>
      </c>
      <c r="F18" s="36" t="s">
        <v>100</v>
      </c>
      <c r="G18" s="37" t="n">
        <v>338</v>
      </c>
      <c r="H18" s="36" t="s">
        <v>121</v>
      </c>
      <c r="I18" s="38" t="n">
        <f aca="false">VLOOKUP(J18,['file:///Users/user/Downloads/10. MUSI BOSA CORTE 31 DE DICIEMBRE 2016_INSUMO CONTRALORIA.xls']Hoja1!$D$81:$G$158,2,0)</f>
        <v>19</v>
      </c>
      <c r="J18" s="39" t="s">
        <v>122</v>
      </c>
      <c r="K18" s="38" t="n">
        <v>835</v>
      </c>
      <c r="L18" s="39" t="s">
        <v>123</v>
      </c>
      <c r="M18" s="38" t="n">
        <v>1</v>
      </c>
      <c r="N18" s="39" t="s">
        <v>124</v>
      </c>
      <c r="O18" s="40" t="n">
        <v>8000</v>
      </c>
      <c r="P18" s="36" t="s">
        <v>125</v>
      </c>
      <c r="Q18" s="36" t="s">
        <v>126</v>
      </c>
      <c r="R18" s="39" t="str">
        <f aca="false">VLOOKUP(J18,['file:///Users/user/Downloads/10. MUSI BOSA CORTE 31 DE DICIEMBRE 2016_INSUMO CONTRALORIA.xls']Hoja1!$D$81:$G$158,4,0)</f>
        <v>10. SDIS</v>
      </c>
      <c r="S18" s="39" t="str">
        <f aca="false">VLOOKUP(J18,['file:///Users/user/Downloads/10. MUSI BOSA CORTE 31 DE DICIEMBRE 2016_INSUMO CONTRALORIA.xls']Hoja1!$D$81:$G$158,3,0)</f>
        <v>Protección  integral a personas y familias en situación de vulneración</v>
      </c>
      <c r="T18" s="35" t="s">
        <v>52</v>
      </c>
      <c r="U18" s="41" t="n">
        <v>1</v>
      </c>
      <c r="V18" s="42" t="n">
        <f aca="false">AJ18/O18</f>
        <v>1.785</v>
      </c>
      <c r="W18" s="42" t="n">
        <f aca="false">U18*V18</f>
        <v>1.785</v>
      </c>
      <c r="X18" s="42" t="n">
        <f aca="false">AO18/O18</f>
        <v>1.785</v>
      </c>
      <c r="Y18" s="42" t="n">
        <f aca="false">X18*U18</f>
        <v>1.785</v>
      </c>
      <c r="Z18" s="38" t="n">
        <v>2000</v>
      </c>
      <c r="AA18" s="40" t="n">
        <v>2000</v>
      </c>
      <c r="AB18" s="40" t="n">
        <v>2000</v>
      </c>
      <c r="AC18" s="40" t="n">
        <v>2000</v>
      </c>
      <c r="AD18" s="40" t="n">
        <v>2000</v>
      </c>
      <c r="AE18" s="40" t="n">
        <f aca="false">SI(T18="Constante";PROMEDIO(AA18;AB18;AC18;AD18);SI(T18="Suma";SUMA(AA18;AB18;AC18;AD18);0))</f>
        <v>8000</v>
      </c>
      <c r="AF18" s="40" t="n">
        <v>2270</v>
      </c>
      <c r="AG18" s="40" t="n">
        <v>2670</v>
      </c>
      <c r="AH18" s="43" t="n">
        <f aca="false">2670+2000</f>
        <v>4670</v>
      </c>
      <c r="AI18" s="44" t="n">
        <v>4670</v>
      </c>
      <c r="AJ18" s="40" t="n">
        <f aca="false">SI(T18="Constante";PROMEDIO(AF18;AG18;AH18;AI18);SI(T18="Suma";SUMA(AF18;AG18;AH18;AI18);0))</f>
        <v>14280</v>
      </c>
      <c r="AK18" s="40" t="n">
        <v>2270</v>
      </c>
      <c r="AL18" s="43" t="n">
        <v>2670</v>
      </c>
      <c r="AM18" s="45" t="n">
        <f aca="false">2670+2000</f>
        <v>4670</v>
      </c>
      <c r="AN18" s="45" t="n">
        <v>4670</v>
      </c>
      <c r="AO18" s="40" t="n">
        <f aca="false">SI(T18="Constante";PROMEDIO(AK18;AL18;AM18;AN18);SI(T18="Suma";SUMA(AK18;AL18;AM18;AN18);0))</f>
        <v>14280</v>
      </c>
      <c r="AP18" s="46" t="n">
        <v>2966400000</v>
      </c>
      <c r="AQ18" s="46" t="n">
        <v>4077147262</v>
      </c>
      <c r="AR18" s="46" t="n">
        <f aca="false">7256243333</f>
        <v>7256243333</v>
      </c>
      <c r="AS18" s="47" t="n">
        <v>11057902059</v>
      </c>
      <c r="AT18" s="46" t="n">
        <f aca="false">SUMA(AP18:AS18)</f>
        <v>25357692654</v>
      </c>
      <c r="AU18" s="46" t="n">
        <v>2326200000</v>
      </c>
      <c r="AV18" s="46" t="n">
        <v>3009423017</v>
      </c>
      <c r="AW18" s="46" t="n">
        <v>4162410916</v>
      </c>
      <c r="AX18" s="47" t="n">
        <v>4162085905</v>
      </c>
      <c r="AY18" s="48" t="n">
        <f aca="false">SUMA(AU18:AX18)</f>
        <v>13660119838</v>
      </c>
      <c r="AZ18" s="49"/>
      <c r="BA18" s="49"/>
      <c r="BB18" s="49" t="s">
        <v>127</v>
      </c>
      <c r="BC18" s="51"/>
    </row>
    <row collapsed="false" customFormat="true" customHeight="true" hidden="false" ht="37.5" outlineLevel="0" r="19" s="52">
      <c r="A19" s="34" t="n">
        <f aca="false">VLOOKUP(B19,['file:///Users/user/Downloads/10. MUSI BOSA CORTE 31 DE DICIEMBRE 2016_INSUMO CONTRALORIA.xls']Hoja2!$B$47:$C$66,2,0)</f>
        <v>7</v>
      </c>
      <c r="B19" s="35" t="s">
        <v>43</v>
      </c>
      <c r="C19" s="34" t="n">
        <f aca="false">VLOOKUP(D19,['file:///Users/user/Downloads/10. MUSI BOSA CORTE 31 DE DICIEMBRE 2016_INSUMO CONTRALORIA.xls']Hoja2!$B$8:$C$10,2,0)</f>
        <v>1</v>
      </c>
      <c r="D19" s="36" t="s">
        <v>44</v>
      </c>
      <c r="E19" s="34" t="n">
        <f aca="false">VLOOKUP(F19,['file:///Users/user/Downloads/10. MUSI BOSA CORTE 31 DE DICIEMBRE 2016_INSUMO CONTRALORIA.xls']Hoja2!$B$12:$C$40,2,0)</f>
        <v>7</v>
      </c>
      <c r="F19" s="36" t="s">
        <v>128</v>
      </c>
      <c r="G19" s="37" t="n">
        <v>340</v>
      </c>
      <c r="H19" s="36" t="s">
        <v>129</v>
      </c>
      <c r="I19" s="38" t="n">
        <f aca="false">VLOOKUP(J19,['file:///Users/user/Downloads/10. MUSI BOSA CORTE 31 DE DICIEMBRE 2016_INSUMO CONTRALORIA.xls']Hoja1!$D$81:$G$158,2,0)</f>
        <v>21</v>
      </c>
      <c r="J19" s="39" t="s">
        <v>130</v>
      </c>
      <c r="K19" s="38" t="n">
        <v>836</v>
      </c>
      <c r="L19" s="39" t="s">
        <v>131</v>
      </c>
      <c r="M19" s="38" t="n">
        <v>1</v>
      </c>
      <c r="N19" s="39" t="s">
        <v>56</v>
      </c>
      <c r="O19" s="40" t="n">
        <v>2000</v>
      </c>
      <c r="P19" s="36" t="s">
        <v>63</v>
      </c>
      <c r="Q19" s="36" t="s">
        <v>132</v>
      </c>
      <c r="R19" s="39" t="str">
        <f aca="false">VLOOKUP(J19,['file:///Users/user/Downloads/10. MUSI BOSA CORTE 31 DE DICIEMBRE 2016_INSUMO CONTRALORIA.xls']Hoja1!$D$81:$G$158,4,0)</f>
        <v>5. GOBIERNO </v>
      </c>
      <c r="S19" s="39" t="str">
        <f aca="false">VLOOKUP(J19,['file:///Users/user/Downloads/10. MUSI BOSA CORTE 31 DE DICIEMBRE 2016_INSUMO CONTRALORIA.xls']Hoja1!$D$81:$G$158,3,0)</f>
        <v>Prevención, atención y gestión del conflicto en la localidad</v>
      </c>
      <c r="T19" s="35" t="s">
        <v>52</v>
      </c>
      <c r="U19" s="41" t="n">
        <v>1</v>
      </c>
      <c r="V19" s="42" t="n">
        <f aca="false">AJ19/O19</f>
        <v>5.8</v>
      </c>
      <c r="W19" s="42" t="n">
        <f aca="false">U19*V19</f>
        <v>5.8</v>
      </c>
      <c r="X19" s="42" t="n">
        <f aca="false">AO19/O19</f>
        <v>9.3905</v>
      </c>
      <c r="Y19" s="42" t="n">
        <f aca="false">X19*U19</f>
        <v>9.3905</v>
      </c>
      <c r="Z19" s="38" t="n">
        <v>0</v>
      </c>
      <c r="AA19" s="40" t="n">
        <v>500</v>
      </c>
      <c r="AB19" s="40" t="n">
        <v>500</v>
      </c>
      <c r="AC19" s="40" t="n">
        <v>500</v>
      </c>
      <c r="AD19" s="40" t="n">
        <v>500</v>
      </c>
      <c r="AE19" s="40" t="n">
        <f aca="false">SI(T19="Constante";PROMEDIO(AA19;AB19;AC19;AD19);SI(T19="Suma";SUMA(AA19;AB19;AC19;AD19);0))</f>
        <v>2000</v>
      </c>
      <c r="AF19" s="40" t="n">
        <v>600</v>
      </c>
      <c r="AG19" s="40" t="n">
        <f aca="false">5000+1000+1500</f>
        <v>7500</v>
      </c>
      <c r="AH19" s="43" t="n">
        <f aca="false">3000+500</f>
        <v>3500</v>
      </c>
      <c r="AI19" s="44" t="n">
        <v>0</v>
      </c>
      <c r="AJ19" s="40" t="n">
        <f aca="false">SI(T19="Constante";PROMEDIO(AF19;AG19;AH19;AI19);SI(T19="Suma";SUMA(AF19;AG19;AH19;AI19);0))</f>
        <v>11600</v>
      </c>
      <c r="AK19" s="40" t="n">
        <f aca="false">700+350+600</f>
        <v>1650</v>
      </c>
      <c r="AL19" s="43" t="n">
        <f aca="false">1885+1000+2225+2321+2400+2134</f>
        <v>11965</v>
      </c>
      <c r="AM19" s="45" t="n">
        <f aca="false">3000+750+1416</f>
        <v>5166</v>
      </c>
      <c r="AN19" s="45" t="n">
        <v>0</v>
      </c>
      <c r="AO19" s="40" t="n">
        <f aca="false">SI(T19="Constante";PROMEDIO(AK19;AL19;AM19;AN19);SI(T19="Suma";SUMA(AK19;AL19;AM19;AN19);0))</f>
        <v>18781</v>
      </c>
      <c r="AP19" s="46" t="n">
        <v>90619166</v>
      </c>
      <c r="AQ19" s="46" t="n">
        <v>671193571</v>
      </c>
      <c r="AR19" s="46" t="n">
        <f aca="false">294703482/3</f>
        <v>98234494</v>
      </c>
      <c r="AS19" s="47" t="n">
        <v>0</v>
      </c>
      <c r="AT19" s="46" t="n">
        <f aca="false">SUMA(AP19:AS19)</f>
        <v>860047231</v>
      </c>
      <c r="AU19" s="46" t="n">
        <v>0</v>
      </c>
      <c r="AV19" s="46" t="n">
        <v>270302640</v>
      </c>
      <c r="AW19" s="46" t="n">
        <v>96901161</v>
      </c>
      <c r="AX19" s="47" t="n">
        <v>0</v>
      </c>
      <c r="AY19" s="48" t="n">
        <f aca="false">SUMA(AU19:AX19)</f>
        <v>367203801</v>
      </c>
      <c r="AZ19" s="49"/>
      <c r="BA19" s="49"/>
      <c r="BB19" s="49" t="s">
        <v>107</v>
      </c>
      <c r="BC19" s="51"/>
    </row>
    <row collapsed="false" customFormat="true" customHeight="true" hidden="false" ht="37.5" outlineLevel="0" r="20" s="52">
      <c r="A20" s="34" t="n">
        <f aca="false">VLOOKUP(B20,['file:///Users/user/Downloads/10. MUSI BOSA CORTE 31 DE DICIEMBRE 2016_INSUMO CONTRALORIA.xls']Hoja2!$B$47:$C$66,2,0)</f>
        <v>7</v>
      </c>
      <c r="B20" s="35" t="s">
        <v>43</v>
      </c>
      <c r="C20" s="34" t="n">
        <f aca="false">VLOOKUP(D20,['file:///Users/user/Downloads/10. MUSI BOSA CORTE 31 DE DICIEMBRE 2016_INSUMO CONTRALORIA.xls']Hoja2!$B$8:$C$10,2,0)</f>
        <v>1</v>
      </c>
      <c r="D20" s="36" t="s">
        <v>44</v>
      </c>
      <c r="E20" s="34" t="n">
        <f aca="false">VLOOKUP(F20,['file:///Users/user/Downloads/10. MUSI BOSA CORTE 31 DE DICIEMBRE 2016_INSUMO CONTRALORIA.xls']Hoja2!$B$12:$C$40,2,0)</f>
        <v>7</v>
      </c>
      <c r="F20" s="36" t="s">
        <v>128</v>
      </c>
      <c r="G20" s="37" t="n">
        <v>341</v>
      </c>
      <c r="H20" s="36" t="s">
        <v>133</v>
      </c>
      <c r="I20" s="38" t="n">
        <f aca="false">VLOOKUP(J20,['file:///Users/user/Downloads/10. MUSI BOSA CORTE 31 DE DICIEMBRE 2016_INSUMO CONTRALORIA.xls']Hoja1!$D$81:$G$158,2,0)</f>
        <v>21</v>
      </c>
      <c r="J20" s="39" t="s">
        <v>130</v>
      </c>
      <c r="K20" s="38" t="n">
        <v>836</v>
      </c>
      <c r="L20" s="39" t="s">
        <v>131</v>
      </c>
      <c r="M20" s="38" t="n">
        <v>2</v>
      </c>
      <c r="N20" s="39" t="s">
        <v>134</v>
      </c>
      <c r="O20" s="40" t="n">
        <v>1000</v>
      </c>
      <c r="P20" s="36" t="s">
        <v>63</v>
      </c>
      <c r="Q20" s="36" t="s">
        <v>135</v>
      </c>
      <c r="R20" s="39" t="str">
        <f aca="false">VLOOKUP(J20,['file:///Users/user/Downloads/10. MUSI BOSA CORTE 31 DE DICIEMBRE 2016_INSUMO CONTRALORIA.xls']Hoja1!$D$81:$G$158,4,0)</f>
        <v>5. GOBIERNO </v>
      </c>
      <c r="S20" s="39" t="str">
        <f aca="false">VLOOKUP(J20,['file:///Users/user/Downloads/10. MUSI BOSA CORTE 31 DE DICIEMBRE 2016_INSUMO CONTRALORIA.xls']Hoja1!$D$81:$G$158,3,0)</f>
        <v>Prevención, atención y gestión del conflicto en la localidad</v>
      </c>
      <c r="T20" s="35" t="s">
        <v>52</v>
      </c>
      <c r="U20" s="41" t="n">
        <v>1</v>
      </c>
      <c r="V20" s="42" t="n">
        <f aca="false">AJ20/O20</f>
        <v>3</v>
      </c>
      <c r="W20" s="42" t="n">
        <f aca="false">U20*V20</f>
        <v>3</v>
      </c>
      <c r="X20" s="42" t="n">
        <f aca="false">AO20/O20</f>
        <v>6.371</v>
      </c>
      <c r="Y20" s="42" t="n">
        <f aca="false">X20*U20</f>
        <v>6.371</v>
      </c>
      <c r="Z20" s="38" t="n">
        <v>0</v>
      </c>
      <c r="AA20" s="40" t="n">
        <v>250</v>
      </c>
      <c r="AB20" s="40" t="n">
        <v>250</v>
      </c>
      <c r="AC20" s="40" t="n">
        <v>250</v>
      </c>
      <c r="AD20" s="40" t="n">
        <v>250</v>
      </c>
      <c r="AE20" s="40" t="n">
        <f aca="false">SI(T20="Constante";PROMEDIO(AA20;AB20;AC20;AD20);SI(T20="Suma";SUMA(AA20;AB20;AC20;AD20);0))</f>
        <v>1000</v>
      </c>
      <c r="AF20" s="40" t="n">
        <v>250</v>
      </c>
      <c r="AG20" s="40" t="n">
        <f aca="false">1000+1500</f>
        <v>2500</v>
      </c>
      <c r="AH20" s="43" t="n">
        <v>250</v>
      </c>
      <c r="AI20" s="44" t="n">
        <v>0</v>
      </c>
      <c r="AJ20" s="40" t="n">
        <f aca="false">SI(T20="Constante";PROMEDIO(AF20;AG20;AH20;AI20);SI(T20="Suma";SUMA(AF20;AG20;AH20;AI20);0))</f>
        <v>3000</v>
      </c>
      <c r="AK20" s="40" t="n">
        <f aca="false">700+1521</f>
        <v>2221</v>
      </c>
      <c r="AL20" s="43" t="n">
        <f aca="false">1000+2400</f>
        <v>3400</v>
      </c>
      <c r="AM20" s="45" t="n">
        <v>750</v>
      </c>
      <c r="AN20" s="45" t="n">
        <v>0</v>
      </c>
      <c r="AO20" s="40" t="n">
        <f aca="false">SI(T20="Constante";PROMEDIO(AK20;AL20;AM20;AN20);SI(T20="Suma";SUMA(AK20;AL20;AM20;AN20);0))</f>
        <v>6371</v>
      </c>
      <c r="AP20" s="46" t="n">
        <v>88000000</v>
      </c>
      <c r="AQ20" s="46" t="n">
        <v>331101570</v>
      </c>
      <c r="AR20" s="46" t="n">
        <v>98234494</v>
      </c>
      <c r="AS20" s="47" t="n">
        <v>0</v>
      </c>
      <c r="AT20" s="46" t="n">
        <f aca="false">SUMA(AP20:AS20)</f>
        <v>517336064</v>
      </c>
      <c r="AU20" s="46" t="n">
        <v>0</v>
      </c>
      <c r="AV20" s="46" t="n">
        <v>2944000</v>
      </c>
      <c r="AW20" s="46" t="n">
        <v>96901161</v>
      </c>
      <c r="AX20" s="47" t="n">
        <v>0</v>
      </c>
      <c r="AY20" s="48" t="n">
        <f aca="false">SUMA(AU20:AX20)</f>
        <v>99845161</v>
      </c>
      <c r="AZ20" s="55"/>
      <c r="BA20" s="55"/>
      <c r="BB20" s="55" t="s">
        <v>107</v>
      </c>
      <c r="BC20" s="51"/>
    </row>
    <row collapsed="false" customFormat="true" customHeight="true" hidden="false" ht="37.5" outlineLevel="0" r="21" s="52">
      <c r="A21" s="34" t="n">
        <f aca="false">VLOOKUP(B21,['file:///Users/user/Downloads/10. MUSI BOSA CORTE 31 DE DICIEMBRE 2016_INSUMO CONTRALORIA.xls']Hoja2!$B$47:$C$66,2,0)</f>
        <v>7</v>
      </c>
      <c r="B21" s="35" t="s">
        <v>43</v>
      </c>
      <c r="C21" s="34" t="n">
        <f aca="false">VLOOKUP(D21,['file:///Users/user/Downloads/10. MUSI BOSA CORTE 31 DE DICIEMBRE 2016_INSUMO CONTRALORIA.xls']Hoja2!$B$8:$C$10,2,0)</f>
        <v>1</v>
      </c>
      <c r="D21" s="36" t="s">
        <v>44</v>
      </c>
      <c r="E21" s="34" t="n">
        <f aca="false">VLOOKUP(F21,['file:///Users/user/Downloads/10. MUSI BOSA CORTE 31 DE DICIEMBRE 2016_INSUMO CONTRALORIA.xls']Hoja2!$B$12:$C$40,2,0)</f>
        <v>7</v>
      </c>
      <c r="F21" s="36" t="s">
        <v>128</v>
      </c>
      <c r="G21" s="37" t="n">
        <v>342</v>
      </c>
      <c r="H21" s="36" t="s">
        <v>136</v>
      </c>
      <c r="I21" s="38" t="n">
        <f aca="false">VLOOKUP(J21,['file:///Users/user/Downloads/10. MUSI BOSA CORTE 31 DE DICIEMBRE 2016_INSUMO CONTRALORIA.xls']Hoja1!$D$81:$G$158,2,0)</f>
        <v>22</v>
      </c>
      <c r="J21" s="39" t="s">
        <v>137</v>
      </c>
      <c r="K21" s="38" t="n">
        <v>836</v>
      </c>
      <c r="L21" s="39" t="s">
        <v>131</v>
      </c>
      <c r="M21" s="38" t="n">
        <v>3</v>
      </c>
      <c r="N21" s="39" t="s">
        <v>56</v>
      </c>
      <c r="O21" s="40" t="n">
        <v>1000</v>
      </c>
      <c r="P21" s="36" t="s">
        <v>63</v>
      </c>
      <c r="Q21" s="36" t="s">
        <v>138</v>
      </c>
      <c r="R21" s="56" t="str">
        <f aca="false">VLOOKUP(J21,['file:///Users/user/Downloads/10. MUSI BOSA CORTE 31 DE DICIEMBRE 2016_INSUMO CONTRALORIA.xls']Hoja1!$D$81:$G$158,4,0)</f>
        <v>5. GOBIERNO </v>
      </c>
      <c r="S21" s="57" t="str">
        <f aca="false">VLOOKUP(J21,['file:///Users/user/Downloads/10. MUSI BOSA CORTE 31 DE DICIEMBRE 2016_INSUMO CONTRALORIA.xls']Hoja1!$D$81:$G$158,3,0)</f>
        <v>Prevención, atención y gestión del conflicto en la localidad</v>
      </c>
      <c r="T21" s="58" t="s">
        <v>52</v>
      </c>
      <c r="U21" s="59" t="n">
        <v>1</v>
      </c>
      <c r="V21" s="60" t="n">
        <f aca="false">AJ21/O21</f>
        <v>3.25</v>
      </c>
      <c r="W21" s="60" t="n">
        <f aca="false">U21*V21</f>
        <v>3.25</v>
      </c>
      <c r="X21" s="60" t="n">
        <f aca="false">AO21/O21</f>
        <v>8.246</v>
      </c>
      <c r="Y21" s="60" t="n">
        <f aca="false">X21*U21</f>
        <v>8.246</v>
      </c>
      <c r="Z21" s="61" t="n">
        <v>0</v>
      </c>
      <c r="AA21" s="62" t="n">
        <v>250</v>
      </c>
      <c r="AB21" s="62" t="n">
        <v>250</v>
      </c>
      <c r="AC21" s="62" t="n">
        <v>250</v>
      </c>
      <c r="AD21" s="62" t="n">
        <v>250</v>
      </c>
      <c r="AE21" s="62" t="n">
        <f aca="false">SI(T21="Constante";PROMEDIO(AA21;AB21;AC21;AD21);SI(T21="Suma";SUMA(AA21;AB21;AC21;AD21);0))</f>
        <v>1000</v>
      </c>
      <c r="AF21" s="62" t="n">
        <v>250</v>
      </c>
      <c r="AG21" s="62" t="n">
        <f aca="false">1000+1500</f>
        <v>2500</v>
      </c>
      <c r="AH21" s="63" t="n">
        <v>500</v>
      </c>
      <c r="AI21" s="64" t="n">
        <v>0</v>
      </c>
      <c r="AJ21" s="62" t="n">
        <f aca="false">SI(T21="Constante";PROMEDIO(AF21;AG21;AH21;AI21);SI(T21="Suma";SUMA(AF21;AG21;AH21;AI21);0))</f>
        <v>3250</v>
      </c>
      <c r="AK21" s="65" t="n">
        <f aca="false">700+350+1716</f>
        <v>2766</v>
      </c>
      <c r="AL21" s="63" t="n">
        <f aca="false">1500+2400</f>
        <v>3900</v>
      </c>
      <c r="AM21" s="64" t="n">
        <v>1580</v>
      </c>
      <c r="AN21" s="66" t="n">
        <v>0</v>
      </c>
      <c r="AO21" s="62" t="n">
        <f aca="false">SI(T21="Constante";PROMEDIO(AK21;AL21;AM21;AN21);SI(T21="Suma";SUMA(AK21;AL21;AM21;AN21);0))</f>
        <v>8246</v>
      </c>
      <c r="AP21" s="49" t="n">
        <v>100000000</v>
      </c>
      <c r="AQ21" s="49" t="n">
        <v>331377570</v>
      </c>
      <c r="AR21" s="46" t="n">
        <v>98234494</v>
      </c>
      <c r="AS21" s="67" t="n">
        <v>0</v>
      </c>
      <c r="AT21" s="49" t="n">
        <f aca="false">SUMA(AP21:AS21)</f>
        <v>529612064</v>
      </c>
      <c r="AU21" s="49" t="n">
        <v>0</v>
      </c>
      <c r="AV21" s="49" t="n">
        <v>3220000</v>
      </c>
      <c r="AW21" s="46" t="n">
        <v>96901160</v>
      </c>
      <c r="AX21" s="67" t="n">
        <v>0</v>
      </c>
      <c r="AY21" s="49" t="n">
        <f aca="false">SUMA(AU21:AX21)</f>
        <v>100121160</v>
      </c>
      <c r="AZ21" s="49"/>
      <c r="BA21" s="49"/>
      <c r="BB21" s="49" t="s">
        <v>107</v>
      </c>
      <c r="BC21" s="68"/>
    </row>
    <row collapsed="false" customFormat="true" customHeight="true" hidden="false" ht="37.5" outlineLevel="0" r="22" s="52">
      <c r="A22" s="34" t="n">
        <f aca="false">VLOOKUP(B22,['file:///Users/user/Downloads/10. MUSI BOSA CORTE 31 DE DICIEMBRE 2016_INSUMO CONTRALORIA.xls']Hoja2!$B$47:$C$66,2,0)</f>
        <v>7</v>
      </c>
      <c r="B22" s="35" t="s">
        <v>43</v>
      </c>
      <c r="C22" s="34" t="n">
        <f aca="false">VLOOKUP(D22,['file:///Users/user/Downloads/10. MUSI BOSA CORTE 31 DE DICIEMBRE 2016_INSUMO CONTRALORIA.xls']Hoja2!$B$8:$C$10,2,0)</f>
        <v>1</v>
      </c>
      <c r="D22" s="36" t="s">
        <v>44</v>
      </c>
      <c r="E22" s="34" t="n">
        <f aca="false">VLOOKUP(F22,['file:///Users/user/Downloads/10. MUSI BOSA CORTE 31 DE DICIEMBRE 2016_INSUMO CONTRALORIA.xls']Hoja2!$B$12:$C$40,2,0)</f>
        <v>8</v>
      </c>
      <c r="F22" s="36" t="s">
        <v>139</v>
      </c>
      <c r="G22" s="37" t="n">
        <v>343</v>
      </c>
      <c r="H22" s="36" t="s">
        <v>140</v>
      </c>
      <c r="I22" s="38" t="n">
        <f aca="false">VLOOKUP(J22,['file:///Users/user/Downloads/10. MUSI BOSA CORTE 31 DE DICIEMBRE 2016_INSUMO CONTRALORIA.xls']Hoja1!$D$81:$G$158,2,0)</f>
        <v>23</v>
      </c>
      <c r="J22" s="39" t="s">
        <v>141</v>
      </c>
      <c r="K22" s="38" t="n">
        <v>837</v>
      </c>
      <c r="L22" s="39" t="s">
        <v>142</v>
      </c>
      <c r="M22" s="38" t="n">
        <v>1</v>
      </c>
      <c r="N22" s="39" t="s">
        <v>143</v>
      </c>
      <c r="O22" s="40" t="n">
        <v>64</v>
      </c>
      <c r="P22" s="36" t="s">
        <v>144</v>
      </c>
      <c r="Q22" s="36" t="s">
        <v>145</v>
      </c>
      <c r="R22" s="39" t="str">
        <f aca="false">VLOOKUP(J22,['file:///Users/user/Downloads/10. MUSI BOSA CORTE 31 DE DICIEMBRE 2016_INSUMO CONTRALORIA.xls']Hoja1!$D$81:$G$158,4,0)</f>
        <v>2. CULTURA Y RECREACIÓN</v>
      </c>
      <c r="S22" s="69" t="str">
        <f aca="false">VLOOKUP(J22,['file:///Users/user/Downloads/10. MUSI BOSA CORTE 31 DE DICIEMBRE 2016_INSUMO CONTRALORIA.xls']Hoja1!$D$81:$G$158,3,0)</f>
        <v>Espacios artísticos y culturales</v>
      </c>
      <c r="T22" s="70" t="s">
        <v>52</v>
      </c>
      <c r="U22" s="71" t="n">
        <v>1</v>
      </c>
      <c r="V22" s="72" t="n">
        <f aca="false">AJ22/O22</f>
        <v>0.859375</v>
      </c>
      <c r="W22" s="72" t="n">
        <f aca="false">U22*V22</f>
        <v>0.859375</v>
      </c>
      <c r="X22" s="72" t="n">
        <f aca="false">AO22/O22</f>
        <v>0.71875</v>
      </c>
      <c r="Y22" s="72" t="n">
        <f aca="false">X22*U22</f>
        <v>0.71875</v>
      </c>
      <c r="Z22" s="73" t="n">
        <v>20</v>
      </c>
      <c r="AA22" s="74" t="n">
        <v>16</v>
      </c>
      <c r="AB22" s="74" t="n">
        <v>16</v>
      </c>
      <c r="AC22" s="74" t="n">
        <v>16</v>
      </c>
      <c r="AD22" s="74" t="n">
        <v>16</v>
      </c>
      <c r="AE22" s="74" t="n">
        <f aca="false">SI(T22="Constante";PROMEDIO(AA22;AB22;AC22;AD22);SI(T22="Suma";SUMA(AA22;AB22;AC22;AD22);0))</f>
        <v>64</v>
      </c>
      <c r="AF22" s="74" t="n">
        <v>11</v>
      </c>
      <c r="AG22" s="74" t="n">
        <v>15</v>
      </c>
      <c r="AH22" s="75" t="n">
        <v>18</v>
      </c>
      <c r="AI22" s="76" t="n">
        <v>11</v>
      </c>
      <c r="AJ22" s="74" t="n">
        <f aca="false">SI(T22="Constante";PROMEDIO(AF22;AG22;AH22;AI22);SI(T22="Suma";SUMA(AF22;AG22;AH22;AI22);0))</f>
        <v>55</v>
      </c>
      <c r="AK22" s="77" t="n">
        <v>11</v>
      </c>
      <c r="AL22" s="63" t="n">
        <v>15</v>
      </c>
      <c r="AM22" s="64" t="n">
        <v>18</v>
      </c>
      <c r="AN22" s="78" t="n">
        <v>2</v>
      </c>
      <c r="AO22" s="74" t="n">
        <f aca="false">SI(T22="Constante";PROMEDIO(AK22;AL22;AM22;AN22);SI(T22="Suma";SUMA(AK22;AL22;AM22;AN22);0))</f>
        <v>46</v>
      </c>
      <c r="AP22" s="79" t="n">
        <v>863305000</v>
      </c>
      <c r="AQ22" s="79" t="n">
        <v>1091220554</v>
      </c>
      <c r="AR22" s="79" t="n">
        <v>1296755993</v>
      </c>
      <c r="AS22" s="80" t="n">
        <v>899201162</v>
      </c>
      <c r="AT22" s="79" t="n">
        <f aca="false">SUMA(AP22:AS22)</f>
        <v>4150482709</v>
      </c>
      <c r="AU22" s="79" t="n">
        <v>157787500</v>
      </c>
      <c r="AV22" s="79" t="n">
        <v>704312737</v>
      </c>
      <c r="AW22" s="79" t="n">
        <v>644055847</v>
      </c>
      <c r="AX22" s="80" t="n">
        <v>0</v>
      </c>
      <c r="AY22" s="81" t="n">
        <f aca="false">SUMA(AU22:AX22)</f>
        <v>1506156084</v>
      </c>
      <c r="AZ22" s="82"/>
      <c r="BA22" s="82"/>
      <c r="BB22" s="82" t="s">
        <v>146</v>
      </c>
      <c r="BC22" s="51" t="s">
        <v>147</v>
      </c>
    </row>
    <row collapsed="false" customFormat="true" customHeight="true" hidden="false" ht="37.5" outlineLevel="0" r="23" s="52">
      <c r="A23" s="34" t="n">
        <f aca="false">VLOOKUP(B23,['file:///Users/user/Downloads/10. MUSI BOSA CORTE 31 DE DICIEMBRE 2016_INSUMO CONTRALORIA.xls']Hoja2!$B$47:$C$66,2,0)</f>
        <v>7</v>
      </c>
      <c r="B23" s="35" t="s">
        <v>43</v>
      </c>
      <c r="C23" s="34" t="n">
        <f aca="false">VLOOKUP(D23,['file:///Users/user/Downloads/10. MUSI BOSA CORTE 31 DE DICIEMBRE 2016_INSUMO CONTRALORIA.xls']Hoja2!$B$8:$C$10,2,0)</f>
        <v>1</v>
      </c>
      <c r="D23" s="36" t="s">
        <v>44</v>
      </c>
      <c r="E23" s="34" t="n">
        <f aca="false">VLOOKUP(F23,['file:///Users/user/Downloads/10. MUSI BOSA CORTE 31 DE DICIEMBRE 2016_INSUMO CONTRALORIA.xls']Hoja2!$B$12:$C$40,2,0)</f>
        <v>8</v>
      </c>
      <c r="F23" s="36" t="s">
        <v>139</v>
      </c>
      <c r="G23" s="37" t="n">
        <v>344</v>
      </c>
      <c r="H23" s="36" t="s">
        <v>148</v>
      </c>
      <c r="I23" s="38" t="n">
        <f aca="false">VLOOKUP(J23,['file:///Users/user/Downloads/10. MUSI BOSA CORTE 31 DE DICIEMBRE 2016_INSUMO CONTRALORIA.xls']Hoja1!$D$81:$G$158,2,0)</f>
        <v>25</v>
      </c>
      <c r="J23" s="39" t="s">
        <v>149</v>
      </c>
      <c r="K23" s="38" t="n">
        <v>837</v>
      </c>
      <c r="L23" s="39" t="s">
        <v>142</v>
      </c>
      <c r="M23" s="38" t="n">
        <v>2</v>
      </c>
      <c r="N23" s="39" t="s">
        <v>150</v>
      </c>
      <c r="O23" s="40" t="n">
        <v>300</v>
      </c>
      <c r="P23" s="36" t="s">
        <v>63</v>
      </c>
      <c r="Q23" s="36" t="s">
        <v>151</v>
      </c>
      <c r="R23" s="39" t="str">
        <f aca="false">VLOOKUP(J23,['file:///Users/user/Downloads/10. MUSI BOSA CORTE 31 DE DICIEMBRE 2016_INSUMO CONTRALORIA.xls']Hoja1!$D$81:$G$158,4,0)</f>
        <v>2. CULTURA Y RECREACIÓN</v>
      </c>
      <c r="S23" s="39" t="str">
        <f aca="false">VLOOKUP(J23,['file:///Users/user/Downloads/10. MUSI BOSA CORTE 31 DE DICIEMBRE 2016_INSUMO CONTRALORIA.xls']Hoja1!$D$81:$G$158,3,0)</f>
        <v>Formación artística y cultural</v>
      </c>
      <c r="T23" s="35" t="s">
        <v>85</v>
      </c>
      <c r="U23" s="41" t="n">
        <v>1</v>
      </c>
      <c r="V23" s="42" t="n">
        <f aca="false">AJ23/O23</f>
        <v>1.125</v>
      </c>
      <c r="W23" s="42" t="n">
        <f aca="false">U23*V23</f>
        <v>1.125</v>
      </c>
      <c r="X23" s="42" t="n">
        <f aca="false">AO23/O23</f>
        <v>0.816666666666667</v>
      </c>
      <c r="Y23" s="42" t="n">
        <f aca="false">X23*U23</f>
        <v>0.816666666666667</v>
      </c>
      <c r="Z23" s="38" t="n">
        <v>1204</v>
      </c>
      <c r="AA23" s="40" t="n">
        <v>300</v>
      </c>
      <c r="AB23" s="40" t="n">
        <v>300</v>
      </c>
      <c r="AC23" s="40" t="n">
        <v>300</v>
      </c>
      <c r="AD23" s="40" t="n">
        <v>300</v>
      </c>
      <c r="AE23" s="40" t="n">
        <f aca="false">SI(T23="Constante";PROMEDIO(AA23;AB23;AC23;AD23);SI(T23="Suma";SUMA(AA23;AB23;AC23;AD23);0))</f>
        <v>300</v>
      </c>
      <c r="AF23" s="40" t="n">
        <v>300</v>
      </c>
      <c r="AG23" s="40" t="n">
        <v>330</v>
      </c>
      <c r="AH23" s="43" t="n">
        <v>350</v>
      </c>
      <c r="AI23" s="44" t="n">
        <v>370</v>
      </c>
      <c r="AJ23" s="40" t="n">
        <f aca="false">SI(T23="Constante";PROMEDIO(AF23;AG23;AH23;AI23);SI(T23="Suma";SUMA(AF23;AG23;AH23;AI23);0))</f>
        <v>337.5</v>
      </c>
      <c r="AK23" s="40" t="n">
        <v>300</v>
      </c>
      <c r="AL23" s="75" t="n">
        <v>330</v>
      </c>
      <c r="AM23" s="83" t="n">
        <v>350</v>
      </c>
      <c r="AN23" s="45" t="n">
        <v>0</v>
      </c>
      <c r="AO23" s="40" t="n">
        <f aca="false">SI(T23="Constante";PROMEDIO(AK23;AL23;AM23;AN23);SI(T23="Suma";SUMA(AK23;AL23;AM23;AN23);0))</f>
        <v>245</v>
      </c>
      <c r="AP23" s="46" t="n">
        <v>247000000</v>
      </c>
      <c r="AQ23" s="46" t="n">
        <v>197200000</v>
      </c>
      <c r="AR23" s="46" t="n">
        <v>200891331</v>
      </c>
      <c r="AS23" s="47" t="n">
        <v>114362617</v>
      </c>
      <c r="AT23" s="46" t="n">
        <f aca="false">SUMA(AP23:AS23)</f>
        <v>759453948</v>
      </c>
      <c r="AU23" s="46" t="n">
        <v>0</v>
      </c>
      <c r="AV23" s="46" t="n">
        <v>0</v>
      </c>
      <c r="AW23" s="46" t="n">
        <v>118434798</v>
      </c>
      <c r="AX23" s="47" t="n">
        <v>0</v>
      </c>
      <c r="AY23" s="48" t="n">
        <f aca="false">SUMA(AU23:AX23)</f>
        <v>118434798</v>
      </c>
      <c r="AZ23" s="49"/>
      <c r="BA23" s="49"/>
      <c r="BB23" s="49" t="s">
        <v>146</v>
      </c>
      <c r="BC23" s="51" t="s">
        <v>152</v>
      </c>
    </row>
    <row collapsed="false" customFormat="true" customHeight="true" hidden="false" ht="37.5" outlineLevel="0" r="24" s="52">
      <c r="A24" s="34" t="n">
        <f aca="false">VLOOKUP(B24,['file:///Users/user/Downloads/10. MUSI BOSA CORTE 31 DE DICIEMBRE 2016_INSUMO CONTRALORIA.xls']Hoja2!$B$47:$C$66,2,0)</f>
        <v>7</v>
      </c>
      <c r="B24" s="35" t="s">
        <v>43</v>
      </c>
      <c r="C24" s="34" t="n">
        <f aca="false">VLOOKUP(D24,['file:///Users/user/Downloads/10. MUSI BOSA CORTE 31 DE DICIEMBRE 2016_INSUMO CONTRALORIA.xls']Hoja2!$B$8:$C$10,2,0)</f>
        <v>1</v>
      </c>
      <c r="D24" s="36" t="s">
        <v>44</v>
      </c>
      <c r="E24" s="34" t="n">
        <f aca="false">VLOOKUP(F24,['file:///Users/user/Downloads/10. MUSI BOSA CORTE 31 DE DICIEMBRE 2016_INSUMO CONTRALORIA.xls']Hoja2!$B$12:$C$40,2,0)</f>
        <v>8</v>
      </c>
      <c r="F24" s="36" t="s">
        <v>139</v>
      </c>
      <c r="G24" s="37" t="n">
        <v>345</v>
      </c>
      <c r="H24" s="36" t="s">
        <v>153</v>
      </c>
      <c r="I24" s="38" t="n">
        <f aca="false">VLOOKUP(J24,['file:///Users/user/Downloads/10. MUSI BOSA CORTE 31 DE DICIEMBRE 2016_INSUMO CONTRALORIA.xls']Hoja1!$D$81:$G$158,2,0)</f>
        <v>26</v>
      </c>
      <c r="J24" s="39" t="s">
        <v>154</v>
      </c>
      <c r="K24" s="38" t="n">
        <v>837</v>
      </c>
      <c r="L24" s="39" t="s">
        <v>142</v>
      </c>
      <c r="M24" s="38" t="n">
        <v>4</v>
      </c>
      <c r="N24" s="39" t="s">
        <v>115</v>
      </c>
      <c r="O24" s="40" t="n">
        <v>40</v>
      </c>
      <c r="P24" s="36" t="s">
        <v>116</v>
      </c>
      <c r="Q24" s="36" t="s">
        <v>155</v>
      </c>
      <c r="R24" s="39" t="str">
        <f aca="false">VLOOKUP(J24,['file:///Users/user/Downloads/10. MUSI BOSA CORTE 31 DE DICIEMBRE 2016_INSUMO CONTRALORIA.xls']Hoja1!$D$81:$G$158,4,0)</f>
        <v>2. CULTURA Y RECREACIÓN</v>
      </c>
      <c r="S24" s="39" t="str">
        <f aca="false">VLOOKUP(J24,['file:///Users/user/Downloads/10. MUSI BOSA CORTE 31 DE DICIEMBRE 2016_INSUMO CONTRALORIA.xls']Hoja1!$D$81:$G$158,3,0)</f>
        <v>Formación artística y cultural</v>
      </c>
      <c r="T24" s="35" t="s">
        <v>52</v>
      </c>
      <c r="U24" s="41" t="n">
        <v>1</v>
      </c>
      <c r="V24" s="42" t="n">
        <f aca="false">AJ24/O24</f>
        <v>1.125</v>
      </c>
      <c r="W24" s="42" t="n">
        <f aca="false">U24*V24</f>
        <v>1.125</v>
      </c>
      <c r="X24" s="42" t="n">
        <f aca="false">AO24/O24</f>
        <v>0.875</v>
      </c>
      <c r="Y24" s="42" t="n">
        <f aca="false">X24*U24</f>
        <v>0.875</v>
      </c>
      <c r="Z24" s="38" t="n">
        <v>40</v>
      </c>
      <c r="AA24" s="40" t="n">
        <v>10</v>
      </c>
      <c r="AB24" s="40" t="n">
        <v>10</v>
      </c>
      <c r="AC24" s="40" t="n">
        <v>10</v>
      </c>
      <c r="AD24" s="40" t="n">
        <v>10</v>
      </c>
      <c r="AE24" s="40" t="n">
        <f aca="false">SI(T24="Constante";PROMEDIO(AA24;AB24;AC24;AD24);SI(T24="Suma";SUMA(AA24;AB24;AC24;AD24);0))</f>
        <v>40</v>
      </c>
      <c r="AF24" s="40" t="n">
        <v>0</v>
      </c>
      <c r="AG24" s="40" t="n">
        <v>15</v>
      </c>
      <c r="AH24" s="43" t="n">
        <v>20</v>
      </c>
      <c r="AI24" s="44" t="n">
        <v>10</v>
      </c>
      <c r="AJ24" s="40" t="n">
        <f aca="false">SI(T24="Constante";PROMEDIO(AF24;AG24;AH24;AI24);SI(T24="Suma";SUMA(AF24;AG24;AH24;AI24);0))</f>
        <v>45</v>
      </c>
      <c r="AK24" s="40" t="n">
        <v>0</v>
      </c>
      <c r="AL24" s="43" t="n">
        <v>15</v>
      </c>
      <c r="AM24" s="45" t="n">
        <v>20</v>
      </c>
      <c r="AN24" s="45" t="n">
        <v>0</v>
      </c>
      <c r="AO24" s="40" t="n">
        <f aca="false">SI(T24="Constante";PROMEDIO(AK24;AL24;AM24;AN24);SI(T24="Suma";SUMA(AK24;AL24;AM24;AN24);0))</f>
        <v>35</v>
      </c>
      <c r="AP24" s="46" t="n">
        <v>237500000</v>
      </c>
      <c r="AQ24" s="46" t="n">
        <v>298951521</v>
      </c>
      <c r="AR24" s="46" t="n">
        <v>281852346</v>
      </c>
      <c r="AS24" s="47" t="n">
        <v>231000000</v>
      </c>
      <c r="AT24" s="46" t="n">
        <f aca="false">SUMA(AP24:AS24)</f>
        <v>1049303867</v>
      </c>
      <c r="AU24" s="46" t="n">
        <v>0</v>
      </c>
      <c r="AV24" s="46" t="n">
        <v>89685456</v>
      </c>
      <c r="AW24" s="46" t="n">
        <v>180385501</v>
      </c>
      <c r="AX24" s="47" t="n">
        <v>0</v>
      </c>
      <c r="AY24" s="48" t="n">
        <f aca="false">SUMA(AU24:AX24)</f>
        <v>270070957</v>
      </c>
      <c r="AZ24" s="49"/>
      <c r="BA24" s="49"/>
      <c r="BB24" s="49" t="s">
        <v>146</v>
      </c>
      <c r="BC24" s="51" t="s">
        <v>156</v>
      </c>
    </row>
    <row collapsed="false" customFormat="true" customHeight="true" hidden="false" ht="37.5" outlineLevel="0" r="25" s="52">
      <c r="A25" s="34" t="n">
        <f aca="false">VLOOKUP(B25,['file:///Users/user/Downloads/10. MUSI BOSA CORTE 31 DE DICIEMBRE 2016_INSUMO CONTRALORIA.xls']Hoja2!$B$47:$C$66,2,0)</f>
        <v>7</v>
      </c>
      <c r="B25" s="35" t="s">
        <v>43</v>
      </c>
      <c r="C25" s="34" t="n">
        <f aca="false">VLOOKUP(D25,['file:///Users/user/Downloads/10. MUSI BOSA CORTE 31 DE DICIEMBRE 2016_INSUMO CONTRALORIA.xls']Hoja2!$B$8:$C$10,2,0)</f>
        <v>1</v>
      </c>
      <c r="D25" s="36" t="s">
        <v>44</v>
      </c>
      <c r="E25" s="34" t="n">
        <f aca="false">VLOOKUP(F25,['file:///Users/user/Downloads/10. MUSI BOSA CORTE 31 DE DICIEMBRE 2016_INSUMO CONTRALORIA.xls']Hoja2!$B$12:$C$40,2,0)</f>
        <v>8</v>
      </c>
      <c r="F25" s="36" t="s">
        <v>139</v>
      </c>
      <c r="G25" s="37" t="n">
        <v>346</v>
      </c>
      <c r="H25" s="36" t="s">
        <v>157</v>
      </c>
      <c r="I25" s="38" t="n">
        <f aca="false">VLOOKUP(J25,['file:///Users/user/Downloads/10. MUSI BOSA CORTE 31 DE DICIEMBRE 2016_INSUMO CONTRALORIA.xls']Hoja1!$D$81:$G$158,2,0)</f>
        <v>28</v>
      </c>
      <c r="J25" s="39" t="s">
        <v>158</v>
      </c>
      <c r="K25" s="38" t="n">
        <v>837</v>
      </c>
      <c r="L25" s="39" t="s">
        <v>142</v>
      </c>
      <c r="M25" s="38"/>
      <c r="N25" s="39" t="s">
        <v>115</v>
      </c>
      <c r="O25" s="40" t="n">
        <v>1</v>
      </c>
      <c r="P25" s="36" t="s">
        <v>159</v>
      </c>
      <c r="Q25" s="36" t="s">
        <v>160</v>
      </c>
      <c r="R25" s="39" t="str">
        <f aca="false">VLOOKUP(J25,['file:///Users/user/Downloads/10. MUSI BOSA CORTE 31 DE DICIEMBRE 2016_INSUMO CONTRALORIA.xls']Hoja1!$D$81:$G$158,4,0)</f>
        <v>2. CULTURA Y RECREACIÓN</v>
      </c>
      <c r="S25" s="39" t="str">
        <f aca="false">VLOOKUP(J25,['file:///Users/user/Downloads/10. MUSI BOSA CORTE 31 DE DICIEMBRE 2016_INSUMO CONTRALORIA.xls']Hoja1!$D$81:$G$158,3,0)</f>
        <v>Promoción turística y posicionamiento de la localidad como destino turístico</v>
      </c>
      <c r="T25" s="35" t="s">
        <v>52</v>
      </c>
      <c r="U25" s="41" t="n">
        <v>1</v>
      </c>
      <c r="V25" s="42" t="n">
        <f aca="false">AJ25/O25</f>
        <v>1</v>
      </c>
      <c r="W25" s="42" t="n">
        <f aca="false">U25*V25</f>
        <v>1</v>
      </c>
      <c r="X25" s="42" t="n">
        <f aca="false">AO25/O25</f>
        <v>1</v>
      </c>
      <c r="Y25" s="42" t="n">
        <f aca="false">X25*U25</f>
        <v>1</v>
      </c>
      <c r="Z25" s="38" t="n">
        <v>0</v>
      </c>
      <c r="AA25" s="40"/>
      <c r="AB25" s="40"/>
      <c r="AC25" s="40"/>
      <c r="AD25" s="40"/>
      <c r="AE25" s="40" t="n">
        <f aca="false">SI(T25="Constante";PROMEDIO(AA25;AB25;AC25;AD25);SI(T25="Suma";SUMA(AA25;AB25;AC25;AD25);0))</f>
        <v>0</v>
      </c>
      <c r="AF25" s="40" t="n">
        <v>0</v>
      </c>
      <c r="AG25" s="40" t="n">
        <v>1</v>
      </c>
      <c r="AH25" s="43" t="n">
        <v>0</v>
      </c>
      <c r="AI25" s="44" t="n">
        <v>0</v>
      </c>
      <c r="AJ25" s="40" t="n">
        <f aca="false">SI(T25="Constante";PROMEDIO(AF25;AG25;AH25;AI25);SI(T25="Suma";SUMA(AF25;AG25;AH25;AI25);0))</f>
        <v>1</v>
      </c>
      <c r="AK25" s="40" t="n">
        <v>0</v>
      </c>
      <c r="AL25" s="43" t="n">
        <v>1</v>
      </c>
      <c r="AM25" s="45" t="n">
        <v>0</v>
      </c>
      <c r="AN25" s="45" t="n">
        <v>0</v>
      </c>
      <c r="AO25" s="40" t="n">
        <f aca="false">SI(T25="Constante";PROMEDIO(AK25;AL25;AM25;AN25);SI(T25="Suma";SUMA(AK25;AL25;AM25;AN25);0))</f>
        <v>1</v>
      </c>
      <c r="AP25" s="46" t="n">
        <v>0</v>
      </c>
      <c r="AQ25" s="46" t="n">
        <v>130218158</v>
      </c>
      <c r="AR25" s="46" t="n">
        <v>0</v>
      </c>
      <c r="AS25" s="47" t="n">
        <v>0</v>
      </c>
      <c r="AT25" s="46" t="n">
        <f aca="false">SUMA(AP25:AS25)</f>
        <v>130218158</v>
      </c>
      <c r="AU25" s="46" t="n">
        <v>0</v>
      </c>
      <c r="AV25" s="46" t="n">
        <v>65109079</v>
      </c>
      <c r="AW25" s="46" t="n">
        <v>172000000</v>
      </c>
      <c r="AX25" s="47" t="n">
        <v>0</v>
      </c>
      <c r="AY25" s="48" t="n">
        <f aca="false">SUMA(AU25:AX25)</f>
        <v>237109079</v>
      </c>
      <c r="AZ25" s="49"/>
      <c r="BA25" s="49"/>
      <c r="BB25" s="49" t="s">
        <v>146</v>
      </c>
      <c r="BC25" s="51"/>
    </row>
    <row collapsed="false" customFormat="true" customHeight="true" hidden="false" ht="37.5" outlineLevel="0" r="26" s="52">
      <c r="A26" s="34" t="n">
        <f aca="false">VLOOKUP(B26,['file:///Users/user/Downloads/10. MUSI BOSA CORTE 31 DE DICIEMBRE 2016_INSUMO CONTRALORIA.xls']Hoja2!$B$47:$C$66,2,0)</f>
        <v>7</v>
      </c>
      <c r="B26" s="35" t="s">
        <v>43</v>
      </c>
      <c r="C26" s="34" t="n">
        <f aca="false">VLOOKUP(D26,['file:///Users/user/Downloads/10. MUSI BOSA CORTE 31 DE DICIEMBRE 2016_INSUMO CONTRALORIA.xls']Hoja2!$B$8:$C$10,2,0)</f>
        <v>1</v>
      </c>
      <c r="D26" s="36" t="s">
        <v>44</v>
      </c>
      <c r="E26" s="34" t="n">
        <f aca="false">VLOOKUP(F26,['file:///Users/user/Downloads/10. MUSI BOSA CORTE 31 DE DICIEMBRE 2016_INSUMO CONTRALORIA.xls']Hoja2!$B$12:$C$40,2,0)</f>
        <v>8</v>
      </c>
      <c r="F26" s="36" t="s">
        <v>139</v>
      </c>
      <c r="G26" s="37" t="n">
        <v>355</v>
      </c>
      <c r="H26" s="36" t="s">
        <v>161</v>
      </c>
      <c r="I26" s="38" t="n">
        <f aca="false">VLOOKUP(J26,['file:///Users/user/Downloads/10. MUSI BOSA CORTE 31 DE DICIEMBRE 2016_INSUMO CONTRALORIA.xls']Hoja1!$D$81:$G$158,2,0)</f>
        <v>32</v>
      </c>
      <c r="J26" s="39" t="s">
        <v>162</v>
      </c>
      <c r="K26" s="38" t="n">
        <v>837</v>
      </c>
      <c r="L26" s="39" t="s">
        <v>142</v>
      </c>
      <c r="M26" s="38" t="n">
        <v>3</v>
      </c>
      <c r="N26" s="39" t="s">
        <v>56</v>
      </c>
      <c r="O26" s="40" t="n">
        <v>3000</v>
      </c>
      <c r="P26" s="36" t="s">
        <v>163</v>
      </c>
      <c r="Q26" s="36" t="s">
        <v>164</v>
      </c>
      <c r="R26" s="39" t="str">
        <f aca="false">VLOOKUP(J26,['file:///Users/user/Downloads/10. MUSI BOSA CORTE 31 DE DICIEMBRE 2016_INSUMO CONTRALORIA.xls']Hoja1!$D$81:$G$158,4,0)</f>
        <v>2. CULTURA Y RECREACIÓN</v>
      </c>
      <c r="S26" s="39" t="str">
        <f aca="false">VLOOKUP(J26,['file:///Users/user/Downloads/10. MUSI BOSA CORTE 31 DE DICIEMBRE 2016_INSUMO CONTRALORIA.xls']Hoja1!$D$81:$G$158,3,0)</f>
        <v>Eventos y actividades recreativas y deportivas</v>
      </c>
      <c r="T26" s="35" t="s">
        <v>52</v>
      </c>
      <c r="U26" s="41" t="n">
        <v>1</v>
      </c>
      <c r="V26" s="42" t="n">
        <f aca="false">AJ26/O26</f>
        <v>1.01666666666667</v>
      </c>
      <c r="W26" s="42" t="n">
        <f aca="false">U26*V26</f>
        <v>1.01666666666667</v>
      </c>
      <c r="X26" s="42" t="n">
        <f aca="false">AO26/O26</f>
        <v>0.859333333333333</v>
      </c>
      <c r="Y26" s="42" t="n">
        <f aca="false">X26*U26</f>
        <v>0.859333333333333</v>
      </c>
      <c r="Z26" s="38" t="n">
        <v>0</v>
      </c>
      <c r="AA26" s="40" t="n">
        <v>750</v>
      </c>
      <c r="AB26" s="40" t="n">
        <v>750</v>
      </c>
      <c r="AC26" s="40" t="n">
        <v>750</v>
      </c>
      <c r="AD26" s="40" t="n">
        <v>750</v>
      </c>
      <c r="AE26" s="40" t="n">
        <f aca="false">SI(T26="Constante";PROMEDIO(AA26;AB26;AC26;AD26);SI(T26="Suma";SUMA(AA26;AB26;AC26;AD26);0))</f>
        <v>3000</v>
      </c>
      <c r="AF26" s="40" t="n">
        <v>750</v>
      </c>
      <c r="AG26" s="40" t="n">
        <v>750</v>
      </c>
      <c r="AH26" s="43" t="n">
        <v>800</v>
      </c>
      <c r="AI26" s="44" t="n">
        <v>750</v>
      </c>
      <c r="AJ26" s="40" t="n">
        <f aca="false">SI(T26="Constante";PROMEDIO(AF26;AG26;AH26;AI26);SI(T26="Suma";SUMA(AF26;AG26;AH26;AI26);0))</f>
        <v>3050</v>
      </c>
      <c r="AK26" s="40" t="n">
        <f aca="false">750+103</f>
        <v>853</v>
      </c>
      <c r="AL26" s="43" t="n">
        <v>875</v>
      </c>
      <c r="AM26" s="45" t="n">
        <v>850</v>
      </c>
      <c r="AN26" s="45" t="n">
        <v>0</v>
      </c>
      <c r="AO26" s="40" t="n">
        <f aca="false">SI(T26="Constante";PROMEDIO(AK26;AL26;AM26;AN26);SI(T26="Suma";SUMA(AK26;AL26;AM26;AN26);0))</f>
        <v>2578</v>
      </c>
      <c r="AP26" s="46" t="n">
        <v>731444444</v>
      </c>
      <c r="AQ26" s="46" t="n">
        <v>726000000</v>
      </c>
      <c r="AR26" s="46" t="n">
        <f aca="false">734000000+16000000-3300000</f>
        <v>746700000</v>
      </c>
      <c r="AS26" s="47" t="n">
        <v>394665791</v>
      </c>
      <c r="AT26" s="46" t="n">
        <f aca="false">SUMA(AP26:AS26)</f>
        <v>2598810235</v>
      </c>
      <c r="AU26" s="46" t="n">
        <v>208333333</v>
      </c>
      <c r="AV26" s="46" t="n">
        <v>646650000</v>
      </c>
      <c r="AW26" s="46" t="n">
        <v>745100000</v>
      </c>
      <c r="AX26" s="47" t="n">
        <v>0</v>
      </c>
      <c r="AY26" s="48" t="n">
        <f aca="false">SUMA(AU26:AX26)</f>
        <v>1600083333</v>
      </c>
      <c r="AZ26" s="49"/>
      <c r="BA26" s="49"/>
      <c r="BB26" s="49" t="s">
        <v>53</v>
      </c>
      <c r="BC26" s="51" t="s">
        <v>165</v>
      </c>
    </row>
    <row collapsed="false" customFormat="true" customHeight="true" hidden="false" ht="37.5" outlineLevel="0" r="27" s="52">
      <c r="A27" s="34" t="n">
        <f aca="false">VLOOKUP(B27,['file:///Users/user/Downloads/10. MUSI BOSA CORTE 31 DE DICIEMBRE 2016_INSUMO CONTRALORIA.xls']Hoja2!$B$47:$C$66,2,0)</f>
        <v>7</v>
      </c>
      <c r="B27" s="35" t="s">
        <v>43</v>
      </c>
      <c r="C27" s="34" t="n">
        <f aca="false">VLOOKUP(D27,['file:///Users/user/Downloads/10. MUSI BOSA CORTE 31 DE DICIEMBRE 2016_INSUMO CONTRALORIA.xls']Hoja2!$B$8:$C$10,2,0)</f>
        <v>1</v>
      </c>
      <c r="D27" s="36" t="s">
        <v>44</v>
      </c>
      <c r="E27" s="34" t="n">
        <f aca="false">VLOOKUP(F27,['file:///Users/user/Downloads/10. MUSI BOSA CORTE 31 DE DICIEMBRE 2016_INSUMO CONTRALORIA.xls']Hoja2!$B$12:$C$40,2,0)</f>
        <v>8</v>
      </c>
      <c r="F27" s="36" t="s">
        <v>139</v>
      </c>
      <c r="G27" s="37" t="n">
        <v>347</v>
      </c>
      <c r="H27" s="36" t="s">
        <v>166</v>
      </c>
      <c r="I27" s="38" t="n">
        <f aca="false">VLOOKUP(J27,['file:///Users/user/Downloads/10. MUSI BOSA CORTE 31 DE DICIEMBRE 2016_INSUMO CONTRALORIA.xls']Hoja1!$D$81:$G$158,2,0)</f>
        <v>30</v>
      </c>
      <c r="J27" s="39" t="s">
        <v>167</v>
      </c>
      <c r="K27" s="38" t="n">
        <v>838</v>
      </c>
      <c r="L27" s="39" t="s">
        <v>168</v>
      </c>
      <c r="M27" s="38" t="n">
        <v>2</v>
      </c>
      <c r="N27" s="39" t="s">
        <v>169</v>
      </c>
      <c r="O27" s="40" t="n">
        <v>250</v>
      </c>
      <c r="P27" s="36" t="s">
        <v>63</v>
      </c>
      <c r="Q27" s="36" t="s">
        <v>170</v>
      </c>
      <c r="R27" s="39" t="str">
        <f aca="false">VLOOKUP(J27,['file:///Users/user/Downloads/10. MUSI BOSA CORTE 31 DE DICIEMBRE 2016_INSUMO CONTRALORIA.xls']Hoja1!$D$81:$G$158,4,0)</f>
        <v>2. CULTURA Y RECREACIÓN</v>
      </c>
      <c r="S27" s="39" t="str">
        <f aca="false">VLOOKUP(J27,['file:///Users/user/Downloads/10. MUSI BOSA CORTE 31 DE DICIEMBRE 2016_INSUMO CONTRALORIA.xls']Hoja1!$D$81:$G$158,3,0)</f>
        <v>Eventos y actividades recreativas y deportivas</v>
      </c>
      <c r="T27" s="35" t="s">
        <v>85</v>
      </c>
      <c r="U27" s="41" t="n">
        <v>1</v>
      </c>
      <c r="V27" s="42" t="n">
        <f aca="false">AJ27/O27</f>
        <v>1.168</v>
      </c>
      <c r="W27" s="42" t="n">
        <f aca="false">U27*V27</f>
        <v>1.168</v>
      </c>
      <c r="X27" s="42" t="n">
        <f aca="false">AO27/O27</f>
        <v>0.918</v>
      </c>
      <c r="Y27" s="42" t="n">
        <f aca="false">X27*U27</f>
        <v>0.918</v>
      </c>
      <c r="Z27" s="38" t="n">
        <v>0</v>
      </c>
      <c r="AA27" s="40" t="n">
        <v>250</v>
      </c>
      <c r="AB27" s="40" t="n">
        <v>250</v>
      </c>
      <c r="AC27" s="40" t="n">
        <v>250</v>
      </c>
      <c r="AD27" s="40" t="n">
        <v>250</v>
      </c>
      <c r="AE27" s="40" t="n">
        <f aca="false">SI(T27="Constante";PROMEDIO(AA27;AB27;AC27;AD27);SI(T27="Suma";SUMA(AA27;AB27;AC27;AD27);0))</f>
        <v>250</v>
      </c>
      <c r="AF27" s="40" t="n">
        <v>520</v>
      </c>
      <c r="AG27" s="40" t="n">
        <v>398</v>
      </c>
      <c r="AH27" s="43" t="n">
        <v>0</v>
      </c>
      <c r="AI27" s="44" t="n">
        <v>250</v>
      </c>
      <c r="AJ27" s="40" t="n">
        <f aca="false">SI(T27="Constante";PROMEDIO(AF27;AG27;AH27;AI27);SI(T27="Suma";SUMA(AF27;AG27;AH27;AI27);0))</f>
        <v>292</v>
      </c>
      <c r="AK27" s="40" t="n">
        <v>520</v>
      </c>
      <c r="AL27" s="43" t="n">
        <v>398</v>
      </c>
      <c r="AM27" s="45" t="n">
        <v>0</v>
      </c>
      <c r="AN27" s="45" t="n">
        <v>0</v>
      </c>
      <c r="AO27" s="40" t="n">
        <f aca="false">SI(T27="Constante";PROMEDIO(AK27;AL27;AM27;AN27);SI(T27="Suma";SUMA(AK27;AL27;AM27;AN27);0))</f>
        <v>229.5</v>
      </c>
      <c r="AP27" s="46" t="n">
        <v>221779446</v>
      </c>
      <c r="AQ27" s="46" t="n">
        <v>171428571</v>
      </c>
      <c r="AR27" s="46" t="n">
        <v>0</v>
      </c>
      <c r="AS27" s="47" t="n">
        <v>158926456</v>
      </c>
      <c r="AT27" s="46" t="n">
        <f aca="false">SUMA(AP27:AS27)</f>
        <v>552134473</v>
      </c>
      <c r="AU27" s="46" t="n">
        <v>0</v>
      </c>
      <c r="AV27" s="46" t="n">
        <v>0</v>
      </c>
      <c r="AW27" s="46" t="n">
        <v>0</v>
      </c>
      <c r="AX27" s="47" t="n">
        <v>0</v>
      </c>
      <c r="AY27" s="48" t="n">
        <f aca="false">SUMA(AU27:AX27)</f>
        <v>0</v>
      </c>
      <c r="AZ27" s="49"/>
      <c r="BA27" s="49"/>
      <c r="BB27" s="49" t="s">
        <v>65</v>
      </c>
      <c r="BC27" s="51"/>
    </row>
    <row collapsed="false" customFormat="true" customHeight="true" hidden="false" ht="37.5" outlineLevel="0" r="28" s="52">
      <c r="A28" s="34" t="n">
        <f aca="false">VLOOKUP(B28,['file:///Users/user/Downloads/10. MUSI BOSA CORTE 31 DE DICIEMBRE 2016_INSUMO CONTRALORIA.xls']Hoja2!$B$47:$C$66,2,0)</f>
        <v>7</v>
      </c>
      <c r="B28" s="35" t="s">
        <v>43</v>
      </c>
      <c r="C28" s="34" t="n">
        <f aca="false">VLOOKUP(D28,['file:///Users/user/Downloads/10. MUSI BOSA CORTE 31 DE DICIEMBRE 2016_INSUMO CONTRALORIA.xls']Hoja2!$B$8:$C$10,2,0)</f>
        <v>1</v>
      </c>
      <c r="D28" s="36" t="s">
        <v>44</v>
      </c>
      <c r="E28" s="34" t="n">
        <f aca="false">VLOOKUP(F28,['file:///Users/user/Downloads/10. MUSI BOSA CORTE 31 DE DICIEMBRE 2016_INSUMO CONTRALORIA.xls']Hoja2!$B$12:$C$40,2,0)</f>
        <v>8</v>
      </c>
      <c r="F28" s="36" t="s">
        <v>139</v>
      </c>
      <c r="G28" s="37" t="n">
        <v>348</v>
      </c>
      <c r="H28" s="36" t="s">
        <v>171</v>
      </c>
      <c r="I28" s="38" t="n">
        <f aca="false">VLOOKUP(J28,['file:///Users/user/Downloads/10. MUSI BOSA CORTE 31 DE DICIEMBRE 2016_INSUMO CONTRALORIA.xls']Hoja1!$D$81:$G$158,2,0)</f>
        <v>32</v>
      </c>
      <c r="J28" s="39" t="s">
        <v>162</v>
      </c>
      <c r="K28" s="38" t="n">
        <v>838</v>
      </c>
      <c r="L28" s="39" t="s">
        <v>168</v>
      </c>
      <c r="M28" s="38" t="n">
        <v>3</v>
      </c>
      <c r="N28" s="39" t="s">
        <v>56</v>
      </c>
      <c r="O28" s="40" t="n">
        <v>7200</v>
      </c>
      <c r="P28" s="36" t="s">
        <v>125</v>
      </c>
      <c r="Q28" s="36" t="s">
        <v>172</v>
      </c>
      <c r="R28" s="39" t="str">
        <f aca="false">VLOOKUP(J28,['file:///Users/user/Downloads/10. MUSI BOSA CORTE 31 DE DICIEMBRE 2016_INSUMO CONTRALORIA.xls']Hoja1!$D$81:$G$158,4,0)</f>
        <v>2. CULTURA Y RECREACIÓN</v>
      </c>
      <c r="S28" s="39" t="str">
        <f aca="false">VLOOKUP(J28,['file:///Users/user/Downloads/10. MUSI BOSA CORTE 31 DE DICIEMBRE 2016_INSUMO CONTRALORIA.xls']Hoja1!$D$81:$G$158,3,0)</f>
        <v>Eventos y actividades recreativas y deportivas</v>
      </c>
      <c r="T28" s="35" t="s">
        <v>52</v>
      </c>
      <c r="U28" s="41" t="n">
        <v>1</v>
      </c>
      <c r="V28" s="42" t="n">
        <f aca="false">AJ28/O28</f>
        <v>1</v>
      </c>
      <c r="W28" s="42" t="n">
        <f aca="false">U28*V28</f>
        <v>1</v>
      </c>
      <c r="X28" s="42" t="n">
        <f aca="false">AO28/O28</f>
        <v>0.777777777777778</v>
      </c>
      <c r="Y28" s="42" t="n">
        <f aca="false">X28*U28</f>
        <v>0.777777777777778</v>
      </c>
      <c r="Z28" s="38" t="n">
        <v>5600</v>
      </c>
      <c r="AA28" s="40" t="n">
        <v>1800</v>
      </c>
      <c r="AB28" s="40" t="n">
        <v>1800</v>
      </c>
      <c r="AC28" s="40" t="n">
        <v>1800</v>
      </c>
      <c r="AD28" s="40" t="n">
        <v>1800</v>
      </c>
      <c r="AE28" s="40" t="n">
        <f aca="false">SI(T28="Constante";PROMEDIO(AA28;AB28;AC28;AD28);SI(T28="Suma";SUMA(AA28;AB28;AC28;AD28);0))</f>
        <v>7200</v>
      </c>
      <c r="AF28" s="40" t="n">
        <v>1800</v>
      </c>
      <c r="AG28" s="40" t="n">
        <v>2800</v>
      </c>
      <c r="AH28" s="43" t="n">
        <v>1000</v>
      </c>
      <c r="AI28" s="44" t="n">
        <v>1600</v>
      </c>
      <c r="AJ28" s="40" t="n">
        <f aca="false">SI(T28="Constante";PROMEDIO(AF28;AG28;AH28;AI28);SI(T28="Suma";SUMA(AF28;AG28;AH28;AI28);0))</f>
        <v>7200</v>
      </c>
      <c r="AK28" s="40" t="n">
        <v>1800</v>
      </c>
      <c r="AL28" s="43" t="n">
        <v>2800</v>
      </c>
      <c r="AM28" s="45" t="n">
        <v>1000</v>
      </c>
      <c r="AN28" s="45" t="n">
        <v>0</v>
      </c>
      <c r="AO28" s="40" t="n">
        <f aca="false">SI(T28="Constante";PROMEDIO(AK28;AL28;AM28;AN28);SI(T28="Suma";SUMA(AK28;AL28;AM28;AN28);0))</f>
        <v>5600</v>
      </c>
      <c r="AP28" s="46" t="n">
        <v>487108000</v>
      </c>
      <c r="AQ28" s="46" t="n">
        <v>672000000</v>
      </c>
      <c r="AR28" s="46" t="n">
        <v>286500000</v>
      </c>
      <c r="AS28" s="47" t="n">
        <v>572338838</v>
      </c>
      <c r="AT28" s="46" t="n">
        <f aca="false">SUMA(AP28:AS28)</f>
        <v>2017946838</v>
      </c>
      <c r="AU28" s="46" t="n">
        <v>0</v>
      </c>
      <c r="AV28" s="46" t="n">
        <v>0</v>
      </c>
      <c r="AW28" s="46" t="n">
        <v>136151703</v>
      </c>
      <c r="AX28" s="47" t="n">
        <v>0</v>
      </c>
      <c r="AY28" s="48" t="n">
        <f aca="false">SUMA(AU28:AX28)</f>
        <v>136151703</v>
      </c>
      <c r="AZ28" s="49"/>
      <c r="BA28" s="49"/>
      <c r="BB28" s="49" t="s">
        <v>65</v>
      </c>
      <c r="BC28" s="51"/>
    </row>
    <row collapsed="false" customFormat="true" customHeight="true" hidden="false" ht="37.5" outlineLevel="0" r="29" s="52">
      <c r="A29" s="34" t="n">
        <f aca="false">VLOOKUP(B29,['file:///Users/user/Downloads/10. MUSI BOSA CORTE 31 DE DICIEMBRE 2016_INSUMO CONTRALORIA.xls']Hoja2!$B$47:$C$66,2,0)</f>
        <v>7</v>
      </c>
      <c r="B29" s="35" t="s">
        <v>43</v>
      </c>
      <c r="C29" s="34" t="n">
        <f aca="false">VLOOKUP(D29,['file:///Users/user/Downloads/10. MUSI BOSA CORTE 31 DE DICIEMBRE 2016_INSUMO CONTRALORIA.xls']Hoja2!$B$8:$C$10,2,0)</f>
        <v>1</v>
      </c>
      <c r="D29" s="36" t="s">
        <v>44</v>
      </c>
      <c r="E29" s="34" t="n">
        <f aca="false">VLOOKUP(F29,['file:///Users/user/Downloads/10. MUSI BOSA CORTE 31 DE DICIEMBRE 2016_INSUMO CONTRALORIA.xls']Hoja2!$B$12:$C$40,2,0)</f>
        <v>8</v>
      </c>
      <c r="F29" s="36" t="s">
        <v>139</v>
      </c>
      <c r="G29" s="37" t="n">
        <v>349</v>
      </c>
      <c r="H29" s="36" t="s">
        <v>173</v>
      </c>
      <c r="I29" s="38" t="n">
        <f aca="false">VLOOKUP(J29,['file:///Users/user/Downloads/10. MUSI BOSA CORTE 31 DE DICIEMBRE 2016_INSUMO CONTRALORIA.xls']Hoja1!$D$81:$G$158,2,0)</f>
        <v>31</v>
      </c>
      <c r="J29" s="39" t="s">
        <v>174</v>
      </c>
      <c r="K29" s="38" t="n">
        <v>838</v>
      </c>
      <c r="L29" s="39" t="s">
        <v>168</v>
      </c>
      <c r="M29" s="38" t="n">
        <v>1</v>
      </c>
      <c r="N29" s="39" t="s">
        <v>143</v>
      </c>
      <c r="O29" s="40" t="n">
        <v>32</v>
      </c>
      <c r="P29" s="36" t="s">
        <v>144</v>
      </c>
      <c r="Q29" s="36" t="s">
        <v>175</v>
      </c>
      <c r="R29" s="39" t="str">
        <f aca="false">VLOOKUP(J29,['file:///Users/user/Downloads/10. MUSI BOSA CORTE 31 DE DICIEMBRE 2016_INSUMO CONTRALORIA.xls']Hoja1!$D$81:$G$158,4,0)</f>
        <v>2. CULTURA Y RECREACIÓN</v>
      </c>
      <c r="S29" s="39" t="str">
        <f aca="false">VLOOKUP(J29,['file:///Users/user/Downloads/10. MUSI BOSA CORTE 31 DE DICIEMBRE 2016_INSUMO CONTRALORIA.xls']Hoja1!$D$81:$G$158,3,0)</f>
        <v>Eventos y actividades recreativas y deportivas</v>
      </c>
      <c r="T29" s="35" t="s">
        <v>52</v>
      </c>
      <c r="U29" s="41" t="n">
        <v>1</v>
      </c>
      <c r="V29" s="42" t="n">
        <f aca="false">AJ29/O29</f>
        <v>1</v>
      </c>
      <c r="W29" s="42" t="n">
        <f aca="false">U29*V29</f>
        <v>1</v>
      </c>
      <c r="X29" s="42" t="n">
        <f aca="false">AO29/O29</f>
        <v>0.6875</v>
      </c>
      <c r="Y29" s="42" t="n">
        <f aca="false">X29*U29</f>
        <v>0.6875</v>
      </c>
      <c r="Z29" s="38" t="n">
        <v>32</v>
      </c>
      <c r="AA29" s="40" t="n">
        <v>8</v>
      </c>
      <c r="AB29" s="40" t="n">
        <v>8</v>
      </c>
      <c r="AC29" s="40" t="n">
        <v>8</v>
      </c>
      <c r="AD29" s="40" t="n">
        <v>8</v>
      </c>
      <c r="AE29" s="40" t="n">
        <f aca="false">SI(T29="Constante";PROMEDIO(AA29;AB29;AC29;AD29);SI(T29="Suma";SUMA(AA29;AB29;AC29;AD29);0))</f>
        <v>32</v>
      </c>
      <c r="AF29" s="40" t="n">
        <f aca="false">1+7</f>
        <v>8</v>
      </c>
      <c r="AG29" s="40" t="n">
        <f aca="false">8+2</f>
        <v>10</v>
      </c>
      <c r="AH29" s="43" t="n">
        <v>6</v>
      </c>
      <c r="AI29" s="44" t="n">
        <v>8</v>
      </c>
      <c r="AJ29" s="40" t="n">
        <f aca="false">SI(T29="Constante";PROMEDIO(AF29;AG29;AH29;AI29);SI(T29="Suma";SUMA(AF29;AG29;AH29;AI29);0))</f>
        <v>32</v>
      </c>
      <c r="AK29" s="40" t="n">
        <v>6</v>
      </c>
      <c r="AL29" s="43" t="n">
        <v>10</v>
      </c>
      <c r="AM29" s="45" t="n">
        <v>6</v>
      </c>
      <c r="AN29" s="45" t="n">
        <v>0</v>
      </c>
      <c r="AO29" s="40" t="n">
        <f aca="false">SI(T29="Constante";PROMEDIO(AK29;AL29;AM29;AN29);SI(T29="Suma";SUMA(AK29;AL29;AM29;AN29);0))</f>
        <v>22</v>
      </c>
      <c r="AP29" s="46" t="n">
        <v>990638506</v>
      </c>
      <c r="AQ29" s="46" t="n">
        <v>1267346442</v>
      </c>
      <c r="AR29" s="46" t="n">
        <v>790871000</v>
      </c>
      <c r="AS29" s="47" t="n">
        <v>1203457200</v>
      </c>
      <c r="AT29" s="46" t="n">
        <f aca="false">SUMA(AP29:AS29)</f>
        <v>4252313148</v>
      </c>
      <c r="AU29" s="46" t="n">
        <v>52062852</v>
      </c>
      <c r="AV29" s="46" t="n">
        <v>0</v>
      </c>
      <c r="AW29" s="46" t="n">
        <v>195797000</v>
      </c>
      <c r="AX29" s="47" t="n">
        <v>0</v>
      </c>
      <c r="AY29" s="48" t="n">
        <f aca="false">SUMA(AU29:AX29)</f>
        <v>247859852</v>
      </c>
      <c r="AZ29" s="49"/>
      <c r="BA29" s="49"/>
      <c r="BB29" s="49" t="s">
        <v>65</v>
      </c>
      <c r="BC29" s="51" t="s">
        <v>176</v>
      </c>
    </row>
    <row collapsed="false" customFormat="true" customHeight="true" hidden="false" ht="37.5" outlineLevel="0" r="30" s="52">
      <c r="A30" s="34" t="n">
        <f aca="false">VLOOKUP(B30,['file:///Users/user/Downloads/10. MUSI BOSA CORTE 31 DE DICIEMBRE 2016_INSUMO CONTRALORIA.xls']Hoja2!$B$47:$C$66,2,0)</f>
        <v>7</v>
      </c>
      <c r="B30" s="35" t="s">
        <v>43</v>
      </c>
      <c r="C30" s="34" t="n">
        <f aca="false">VLOOKUP(D30,['file:///Users/user/Downloads/10. MUSI BOSA CORTE 31 DE DICIEMBRE 2016_INSUMO CONTRALORIA.xls']Hoja2!$B$8:$C$10,2,0)</f>
        <v>1</v>
      </c>
      <c r="D30" s="36" t="s">
        <v>44</v>
      </c>
      <c r="E30" s="34" t="n">
        <f aca="false">VLOOKUP(F30,['file:///Users/user/Downloads/10. MUSI BOSA CORTE 31 DE DICIEMBRE 2016_INSUMO CONTRALORIA.xls']Hoja2!$B$12:$C$40,2,0)</f>
        <v>8</v>
      </c>
      <c r="F30" s="36" t="s">
        <v>139</v>
      </c>
      <c r="G30" s="37" t="n">
        <v>350</v>
      </c>
      <c r="H30" s="36" t="s">
        <v>177</v>
      </c>
      <c r="I30" s="38" t="n">
        <f aca="false">VLOOKUP(J30,['file:///Users/user/Downloads/10. MUSI BOSA CORTE 31 DE DICIEMBRE 2016_INSUMO CONTRALORIA.xls']Hoja1!$D$81:$G$158,2,0)</f>
        <v>35</v>
      </c>
      <c r="J30" s="39" t="s">
        <v>178</v>
      </c>
      <c r="K30" s="38" t="n">
        <v>839</v>
      </c>
      <c r="L30" s="39" t="s">
        <v>179</v>
      </c>
      <c r="M30" s="38" t="n">
        <v>1</v>
      </c>
      <c r="N30" s="39" t="s">
        <v>180</v>
      </c>
      <c r="O30" s="40" t="n">
        <v>28</v>
      </c>
      <c r="P30" s="36" t="s">
        <v>181</v>
      </c>
      <c r="Q30" s="36" t="s">
        <v>182</v>
      </c>
      <c r="R30" s="39" t="str">
        <f aca="false">VLOOKUP(J30,['file:///Users/user/Downloads/10. MUSI BOSA CORTE 31 DE DICIEMBRE 2016_INSUMO CONTRALORIA.xls']Hoja1!$D$81:$G$158,4,0)</f>
        <v>2. CULTURA Y RECREACIÓN</v>
      </c>
      <c r="S30" s="39" t="str">
        <f aca="false">VLOOKUP(J30,['file:///Users/user/Downloads/10. MUSI BOSA CORTE 31 DE DICIEMBRE 2016_INSUMO CONTRALORIA.xls']Hoja1!$D$81:$G$158,3,0)</f>
        <v>Parques y escenarios deportivos</v>
      </c>
      <c r="T30" s="35" t="s">
        <v>52</v>
      </c>
      <c r="U30" s="41" t="n">
        <v>1</v>
      </c>
      <c r="V30" s="42" t="n">
        <f aca="false">AJ30/O30</f>
        <v>1.46428571428571</v>
      </c>
      <c r="W30" s="42" t="n">
        <f aca="false">U30*V30</f>
        <v>1.46428571428571</v>
      </c>
      <c r="X30" s="42" t="n">
        <f aca="false">AO30/O30</f>
        <v>1.10714285714286</v>
      </c>
      <c r="Y30" s="42" t="n">
        <f aca="false">X30*U30</f>
        <v>1.10714285714286</v>
      </c>
      <c r="Z30" s="38" t="n">
        <v>51</v>
      </c>
      <c r="AA30" s="40" t="n">
        <v>7</v>
      </c>
      <c r="AB30" s="40" t="n">
        <v>7</v>
      </c>
      <c r="AC30" s="40" t="n">
        <v>7</v>
      </c>
      <c r="AD30" s="40" t="n">
        <v>7</v>
      </c>
      <c r="AE30" s="40" t="n">
        <f aca="false">SI(T30="Constante";PROMEDIO(AA30;AB30;AC30;AD30);SI(T30="Suma";SUMA(AA30;AB30;AC30;AD30);0))</f>
        <v>28</v>
      </c>
      <c r="AF30" s="40" t="n">
        <v>11</v>
      </c>
      <c r="AG30" s="40" t="n">
        <v>13</v>
      </c>
      <c r="AH30" s="43" t="n">
        <v>6</v>
      </c>
      <c r="AI30" s="44" t="n">
        <v>11</v>
      </c>
      <c r="AJ30" s="40" t="n">
        <f aca="false">SI(T30="Constante";PROMEDIO(AF30;AG30;AH30;AI30);SI(T30="Suma";SUMA(AF30;AG30;AH30;AI30);0))</f>
        <v>41</v>
      </c>
      <c r="AK30" s="40" t="n">
        <v>12</v>
      </c>
      <c r="AL30" s="43" t="n">
        <f aca="false">12+1</f>
        <v>13</v>
      </c>
      <c r="AM30" s="45" t="n">
        <v>6</v>
      </c>
      <c r="AN30" s="45" t="n">
        <v>0</v>
      </c>
      <c r="AO30" s="40" t="n">
        <f aca="false">SI(T30="Constante";PROMEDIO(AK30;AL30;AM30;AN30);SI(T30="Suma";SUMA(AK30;AL30;AM30;AN30);0))</f>
        <v>31</v>
      </c>
      <c r="AP30" s="46" t="n">
        <v>2112521214</v>
      </c>
      <c r="AQ30" s="46" t="n">
        <v>3154281186</v>
      </c>
      <c r="AR30" s="46" t="n">
        <f aca="false">3908445635+194881906</f>
        <v>4103327541</v>
      </c>
      <c r="AS30" s="47" t="n">
        <v>1986973476</v>
      </c>
      <c r="AT30" s="46" t="n">
        <f aca="false">SUMA(AP30:AS30)</f>
        <v>11357103417</v>
      </c>
      <c r="AU30" s="46" t="n">
        <v>258401511</v>
      </c>
      <c r="AV30" s="46" t="n">
        <v>970597177</v>
      </c>
      <c r="AW30" s="84" t="n">
        <v>3479494283.75454</v>
      </c>
      <c r="AX30" s="47" t="n">
        <v>0</v>
      </c>
      <c r="AY30" s="48" t="n">
        <f aca="false">SUMA(AU30:AX30)</f>
        <v>4708492971.75454</v>
      </c>
      <c r="AZ30" s="49"/>
      <c r="BA30" s="49"/>
      <c r="BB30" s="50" t="s">
        <v>183</v>
      </c>
      <c r="BC30" s="51" t="s">
        <v>184</v>
      </c>
    </row>
    <row collapsed="false" customFormat="true" customHeight="true" hidden="false" ht="37.5" outlineLevel="0" r="31" s="52">
      <c r="A31" s="34" t="n">
        <f aca="false">VLOOKUP(B31,['file:///Users/user/Downloads/10. MUSI BOSA CORTE 31 DE DICIEMBRE 2016_INSUMO CONTRALORIA.xls']Hoja2!$B$47:$C$66,2,0)</f>
        <v>7</v>
      </c>
      <c r="B31" s="35" t="s">
        <v>43</v>
      </c>
      <c r="C31" s="34" t="n">
        <f aca="false">VLOOKUP(D31,['file:///Users/user/Downloads/10. MUSI BOSA CORTE 31 DE DICIEMBRE 2016_INSUMO CONTRALORIA.xls']Hoja2!$B$8:$C$10,2,0)</f>
        <v>1</v>
      </c>
      <c r="D31" s="36" t="s">
        <v>44</v>
      </c>
      <c r="E31" s="34" t="n">
        <f aca="false">VLOOKUP(F31,['file:///Users/user/Downloads/10. MUSI BOSA CORTE 31 DE DICIEMBRE 2016_INSUMO CONTRALORIA.xls']Hoja2!$B$12:$C$40,2,0)</f>
        <v>8</v>
      </c>
      <c r="F31" s="36" t="s">
        <v>139</v>
      </c>
      <c r="G31" s="37" t="n">
        <v>351</v>
      </c>
      <c r="H31" s="36" t="s">
        <v>185</v>
      </c>
      <c r="I31" s="38" t="n">
        <f aca="false">VLOOKUP(J31,['file:///Users/user/Downloads/10. MUSI BOSA CORTE 31 DE DICIEMBRE 2016_INSUMO CONTRALORIA.xls']Hoja1!$D$81:$G$158,2,0)</f>
        <v>37</v>
      </c>
      <c r="J31" s="39" t="s">
        <v>186</v>
      </c>
      <c r="K31" s="38" t="n">
        <v>839</v>
      </c>
      <c r="L31" s="39" t="s">
        <v>179</v>
      </c>
      <c r="M31" s="38" t="n">
        <v>2</v>
      </c>
      <c r="N31" s="39" t="s">
        <v>187</v>
      </c>
      <c r="O31" s="40" t="n">
        <v>6</v>
      </c>
      <c r="P31" s="36" t="s">
        <v>181</v>
      </c>
      <c r="Q31" s="36" t="s">
        <v>188</v>
      </c>
      <c r="R31" s="39" t="str">
        <f aca="false">VLOOKUP(J31,['file:///Users/user/Downloads/10. MUSI BOSA CORTE 31 DE DICIEMBRE 2016_INSUMO CONTRALORIA.xls']Hoja1!$D$81:$G$158,4,0)</f>
        <v>2. CULTURA Y RECREACIÓN</v>
      </c>
      <c r="S31" s="39" t="str">
        <f aca="false">VLOOKUP(J31,['file:///Users/user/Downloads/10. MUSI BOSA CORTE 31 DE DICIEMBRE 2016_INSUMO CONTRALORIA.xls']Hoja1!$D$81:$G$158,3,0)</f>
        <v>Parques y escenarios deportivos</v>
      </c>
      <c r="T31" s="35" t="s">
        <v>52</v>
      </c>
      <c r="U31" s="41" t="n">
        <v>1</v>
      </c>
      <c r="V31" s="42" t="n">
        <f aca="false">AJ31/O31</f>
        <v>0.833333333333333</v>
      </c>
      <c r="W31" s="42" t="n">
        <f aca="false">U31*V31</f>
        <v>0.833333333333333</v>
      </c>
      <c r="X31" s="42" t="n">
        <f aca="false">AO31/O31</f>
        <v>0.166666666666667</v>
      </c>
      <c r="Y31" s="42" t="n">
        <f aca="false">X31*U31</f>
        <v>0.166666666666667</v>
      </c>
      <c r="Z31" s="38" t="n">
        <v>0</v>
      </c>
      <c r="AA31" s="40" t="n">
        <v>1</v>
      </c>
      <c r="AB31" s="40" t="n">
        <v>2</v>
      </c>
      <c r="AC31" s="40" t="n">
        <v>3</v>
      </c>
      <c r="AD31" s="40" t="n">
        <v>0</v>
      </c>
      <c r="AE31" s="40" t="n">
        <f aca="false">SI(T31="Constante";PROMEDIO(AA31;AB31;AC31;AD31);SI(T31="Suma";SUMA(AA31;AB31;AC31;AD31);0))</f>
        <v>6</v>
      </c>
      <c r="AF31" s="40" t="n">
        <v>0</v>
      </c>
      <c r="AG31" s="40" t="n">
        <v>0</v>
      </c>
      <c r="AH31" s="43" t="n">
        <v>1</v>
      </c>
      <c r="AI31" s="44" t="n">
        <v>4</v>
      </c>
      <c r="AJ31" s="40" t="n">
        <f aca="false">SI(T31="Constante";PROMEDIO(AF31;AG31;AH31;AI31);SI(T31="Suma";SUMA(AF31;AG31;AH31;AI31);0))</f>
        <v>5</v>
      </c>
      <c r="AK31" s="40" t="n">
        <v>0</v>
      </c>
      <c r="AL31" s="43" t="n">
        <v>0</v>
      </c>
      <c r="AM31" s="45" t="n">
        <v>1</v>
      </c>
      <c r="AN31" s="45" t="n">
        <v>0</v>
      </c>
      <c r="AO31" s="40" t="n">
        <f aca="false">SI(T31="Constante";PROMEDIO(AK31;AL31;AM31;AN31);SI(T31="Suma";SUMA(AK31;AL31;AM31;AN31);0))</f>
        <v>1</v>
      </c>
      <c r="AP31" s="46" t="n">
        <v>132387546</v>
      </c>
      <c r="AQ31" s="85" t="n">
        <v>62890497.3333333</v>
      </c>
      <c r="AR31" s="46" t="n">
        <v>646645427</v>
      </c>
      <c r="AS31" s="47" t="n">
        <v>2584174207</v>
      </c>
      <c r="AT31" s="46" t="n">
        <f aca="false">SUMA(AP31:AS31)</f>
        <v>3426097677.33333</v>
      </c>
      <c r="AU31" s="46" t="n">
        <v>0</v>
      </c>
      <c r="AV31" s="46" t="n">
        <v>20398407</v>
      </c>
      <c r="AW31" s="46" t="n">
        <v>646645427.3</v>
      </c>
      <c r="AX31" s="47" t="n">
        <v>0</v>
      </c>
      <c r="AY31" s="48" t="n">
        <f aca="false">SUMA(AU31:AX31)</f>
        <v>667043834.3</v>
      </c>
      <c r="AZ31" s="49"/>
      <c r="BA31" s="49"/>
      <c r="BB31" s="50" t="s">
        <v>183</v>
      </c>
      <c r="BC31" s="51" t="s">
        <v>189</v>
      </c>
    </row>
    <row collapsed="false" customFormat="true" customHeight="true" hidden="false" ht="37.5" outlineLevel="0" r="32" s="52">
      <c r="A32" s="34" t="n">
        <f aca="false">VLOOKUP(B32,['file:///Users/user/Downloads/10. MUSI BOSA CORTE 31 DE DICIEMBRE 2016_INSUMO CONTRALORIA.xls']Hoja2!$B$47:$C$66,2,0)</f>
        <v>7</v>
      </c>
      <c r="B32" s="35" t="s">
        <v>43</v>
      </c>
      <c r="C32" s="34" t="n">
        <f aca="false">VLOOKUP(D32,['file:///Users/user/Downloads/10. MUSI BOSA CORTE 31 DE DICIEMBRE 2016_INSUMO CONTRALORIA.xls']Hoja2!$B$8:$C$10,2,0)</f>
        <v>1</v>
      </c>
      <c r="D32" s="36" t="s">
        <v>44</v>
      </c>
      <c r="E32" s="34" t="n">
        <f aca="false">VLOOKUP(F32,['file:///Users/user/Downloads/10. MUSI BOSA CORTE 31 DE DICIEMBRE 2016_INSUMO CONTRALORIA.xls']Hoja2!$B$12:$C$40,2,0)</f>
        <v>8</v>
      </c>
      <c r="F32" s="36" t="s">
        <v>139</v>
      </c>
      <c r="G32" s="37" t="n">
        <v>352</v>
      </c>
      <c r="H32" s="36" t="s">
        <v>190</v>
      </c>
      <c r="I32" s="38" t="n">
        <f aca="false">VLOOKUP(J32,['file:///Users/user/Downloads/10. MUSI BOSA CORTE 31 DE DICIEMBRE 2016_INSUMO CONTRALORIA.xls']Hoja1!$D$81:$G$158,2,0)</f>
        <v>36</v>
      </c>
      <c r="J32" s="39" t="s">
        <v>191</v>
      </c>
      <c r="K32" s="38" t="n">
        <v>839</v>
      </c>
      <c r="L32" s="39" t="s">
        <v>179</v>
      </c>
      <c r="M32" s="38" t="n">
        <v>3</v>
      </c>
      <c r="N32" s="39" t="s">
        <v>187</v>
      </c>
      <c r="O32" s="40" t="n">
        <v>4</v>
      </c>
      <c r="P32" s="36" t="s">
        <v>181</v>
      </c>
      <c r="Q32" s="36" t="s">
        <v>182</v>
      </c>
      <c r="R32" s="39" t="str">
        <f aca="false">VLOOKUP(J32,['file:///Users/user/Downloads/10. MUSI BOSA CORTE 31 DE DICIEMBRE 2016_INSUMO CONTRALORIA.xls']Hoja1!$D$81:$G$158,4,0)</f>
        <v>2. CULTURA Y RECREACIÓN</v>
      </c>
      <c r="S32" s="39" t="str">
        <f aca="false">VLOOKUP(J32,['file:///Users/user/Downloads/10. MUSI BOSA CORTE 31 DE DICIEMBRE 2016_INSUMO CONTRALORIA.xls']Hoja1!$D$81:$G$158,3,0)</f>
        <v>Parques y escenarios deportivos</v>
      </c>
      <c r="T32" s="35" t="s">
        <v>52</v>
      </c>
      <c r="U32" s="41" t="n">
        <v>1</v>
      </c>
      <c r="V32" s="42" t="n">
        <f aca="false">AJ32/O32</f>
        <v>1.5</v>
      </c>
      <c r="W32" s="42" t="n">
        <f aca="false">U32*V32</f>
        <v>1.5</v>
      </c>
      <c r="X32" s="42" t="n">
        <f aca="false">AO32/O32</f>
        <v>0.25</v>
      </c>
      <c r="Y32" s="42" t="n">
        <f aca="false">X32*U32</f>
        <v>0.25</v>
      </c>
      <c r="Z32" s="38" t="n">
        <v>0</v>
      </c>
      <c r="AA32" s="40" t="n">
        <v>1</v>
      </c>
      <c r="AB32" s="40" t="n">
        <v>1</v>
      </c>
      <c r="AC32" s="40" t="n">
        <v>2</v>
      </c>
      <c r="AD32" s="40" t="n">
        <v>0</v>
      </c>
      <c r="AE32" s="40" t="n">
        <f aca="false">SI(T32="Constante";PROMEDIO(AA32;AB32;AC32;AD32);SI(T32="Suma";SUMA(AA32;AB32;AC32;AD32);0))</f>
        <v>4</v>
      </c>
      <c r="AF32" s="40" t="n">
        <v>0</v>
      </c>
      <c r="AG32" s="40" t="n">
        <v>0</v>
      </c>
      <c r="AH32" s="43" t="n">
        <v>1</v>
      </c>
      <c r="AI32" s="44" t="n">
        <v>5</v>
      </c>
      <c r="AJ32" s="40" t="n">
        <f aca="false">SI(T32="Constante";PROMEDIO(AF32;AG32;AH32;AI32);SI(T32="Suma";SUMA(AF32;AG32;AH32;AI32);0))</f>
        <v>6</v>
      </c>
      <c r="AK32" s="40" t="n">
        <v>0</v>
      </c>
      <c r="AL32" s="43" t="n">
        <v>0</v>
      </c>
      <c r="AM32" s="45" t="n">
        <v>1</v>
      </c>
      <c r="AN32" s="45" t="n">
        <v>0</v>
      </c>
      <c r="AO32" s="40" t="n">
        <f aca="false">SI(T32="Constante";PROMEDIO(AK32;AL32;AM32;AN32);SI(T32="Suma";SUMA(AK32;AL32;AM32;AN32);0))</f>
        <v>1</v>
      </c>
      <c r="AP32" s="46" t="n">
        <v>144396088</v>
      </c>
      <c r="AQ32" s="85" t="n">
        <v>60748304.6666667</v>
      </c>
      <c r="AR32" s="46" t="n">
        <v>646645427</v>
      </c>
      <c r="AS32" s="47" t="n">
        <v>2067339366</v>
      </c>
      <c r="AT32" s="46" t="n">
        <f aca="false">SUMA(AP32:AS32)</f>
        <v>2919129185.66667</v>
      </c>
      <c r="AU32" s="46" t="n">
        <v>0</v>
      </c>
      <c r="AV32" s="46" t="n">
        <v>0</v>
      </c>
      <c r="AW32" s="46" t="n">
        <v>646645427.3</v>
      </c>
      <c r="AX32" s="47" t="n">
        <v>0</v>
      </c>
      <c r="AY32" s="48" t="n">
        <f aca="false">SUMA(AU32:AX32)</f>
        <v>646645427.3</v>
      </c>
      <c r="AZ32" s="49"/>
      <c r="BA32" s="49"/>
      <c r="BB32" s="50" t="s">
        <v>183</v>
      </c>
      <c r="BC32" s="51" t="s">
        <v>192</v>
      </c>
    </row>
    <row collapsed="false" customFormat="true" customHeight="true" hidden="false" ht="37.5" outlineLevel="0" r="33" s="52">
      <c r="A33" s="34" t="n">
        <f aca="false">VLOOKUP(B33,['file:///Users/user/Downloads/10. MUSI BOSA CORTE 31 DE DICIEMBRE 2016_INSUMO CONTRALORIA.xls']Hoja2!$B$47:$C$66,2,0)</f>
        <v>7</v>
      </c>
      <c r="B33" s="35" t="s">
        <v>43</v>
      </c>
      <c r="C33" s="34" t="n">
        <f aca="false">VLOOKUP(D33,['file:///Users/user/Downloads/10. MUSI BOSA CORTE 31 DE DICIEMBRE 2016_INSUMO CONTRALORIA.xls']Hoja2!$B$8:$C$10,2,0)</f>
        <v>1</v>
      </c>
      <c r="D33" s="36" t="s">
        <v>44</v>
      </c>
      <c r="E33" s="34" t="n">
        <f aca="false">VLOOKUP(F33,['file:///Users/user/Downloads/10. MUSI BOSA CORTE 31 DE DICIEMBRE 2016_INSUMO CONTRALORIA.xls']Hoja2!$B$12:$C$40,2,0)</f>
        <v>8</v>
      </c>
      <c r="F33" s="36" t="s">
        <v>139</v>
      </c>
      <c r="G33" s="37" t="n">
        <v>353</v>
      </c>
      <c r="H33" s="36" t="s">
        <v>193</v>
      </c>
      <c r="I33" s="38" t="n">
        <f aca="false">VLOOKUP(J33,['file:///Users/user/Downloads/10. MUSI BOSA CORTE 31 DE DICIEMBRE 2016_INSUMO CONTRALORIA.xls']Hoja1!$D$81:$G$158,2,0)</f>
        <v>35</v>
      </c>
      <c r="J33" s="39" t="s">
        <v>178</v>
      </c>
      <c r="K33" s="38" t="n">
        <v>839</v>
      </c>
      <c r="L33" s="39" t="s">
        <v>179</v>
      </c>
      <c r="M33" s="38" t="n">
        <v>4</v>
      </c>
      <c r="N33" s="39" t="s">
        <v>180</v>
      </c>
      <c r="O33" s="40" t="n">
        <v>60</v>
      </c>
      <c r="P33" s="36" t="s">
        <v>181</v>
      </c>
      <c r="Q33" s="36" t="s">
        <v>188</v>
      </c>
      <c r="R33" s="39" t="str">
        <f aca="false">VLOOKUP(J33,['file:///Users/user/Downloads/10. MUSI BOSA CORTE 31 DE DICIEMBRE 2016_INSUMO CONTRALORIA.xls']Hoja1!$D$81:$G$158,4,0)</f>
        <v>2. CULTURA Y RECREACIÓN</v>
      </c>
      <c r="S33" s="39" t="str">
        <f aca="false">VLOOKUP(J33,['file:///Users/user/Downloads/10. MUSI BOSA CORTE 31 DE DICIEMBRE 2016_INSUMO CONTRALORIA.xls']Hoja1!$D$81:$G$158,3,0)</f>
        <v>Parques y escenarios deportivos</v>
      </c>
      <c r="T33" s="35" t="s">
        <v>52</v>
      </c>
      <c r="U33" s="41" t="n">
        <v>1</v>
      </c>
      <c r="V33" s="42" t="n">
        <f aca="false">AJ33/O33</f>
        <v>0.8</v>
      </c>
      <c r="W33" s="42" t="n">
        <f aca="false">U33*V33</f>
        <v>0.8</v>
      </c>
      <c r="X33" s="42" t="n">
        <f aca="false">AO33/O33</f>
        <v>0.75</v>
      </c>
      <c r="Y33" s="42" t="n">
        <f aca="false">X33*U33</f>
        <v>0.75</v>
      </c>
      <c r="Z33" s="38" t="n">
        <v>51</v>
      </c>
      <c r="AA33" s="40" t="n">
        <v>15</v>
      </c>
      <c r="AB33" s="40" t="n">
        <v>15</v>
      </c>
      <c r="AC33" s="40" t="n">
        <v>15</v>
      </c>
      <c r="AD33" s="40" t="n">
        <v>15</v>
      </c>
      <c r="AE33" s="40" t="n">
        <f aca="false">SI(T33="Constante";PROMEDIO(AA33;AB33;AC33;AD33);SI(T33="Suma";SUMA(AA33;AB33;AC33;AD33);0))</f>
        <v>60</v>
      </c>
      <c r="AF33" s="40" t="n">
        <v>18</v>
      </c>
      <c r="AG33" s="40" t="n">
        <v>14</v>
      </c>
      <c r="AH33" s="43" t="n">
        <v>14</v>
      </c>
      <c r="AI33" s="44" t="n">
        <v>2</v>
      </c>
      <c r="AJ33" s="40" t="n">
        <f aca="false">SI(T33="Constante";PROMEDIO(AF33;AG33;AH33;AI33);SI(T33="Suma";SUMA(AF33;AG33;AH33;AI33);0))</f>
        <v>48</v>
      </c>
      <c r="AK33" s="40" t="n">
        <v>17</v>
      </c>
      <c r="AL33" s="43" t="n">
        <f aca="false">13+1</f>
        <v>14</v>
      </c>
      <c r="AM33" s="45" t="n">
        <v>14</v>
      </c>
      <c r="AN33" s="45" t="n">
        <v>0</v>
      </c>
      <c r="AO33" s="40" t="n">
        <f aca="false">SI(T33="Constante";PROMEDIO(AK33;AL33;AM33;AN33);SI(T33="Suma";SUMA(AK33;AL33;AM33;AN33);0))</f>
        <v>45</v>
      </c>
      <c r="AP33" s="46" t="n">
        <v>1084034350</v>
      </c>
      <c r="AQ33" s="46" t="n">
        <v>1832078980</v>
      </c>
      <c r="AR33" s="46" t="n">
        <v>2687103679</v>
      </c>
      <c r="AS33" s="47" t="n">
        <v>361305604</v>
      </c>
      <c r="AT33" s="46" t="n">
        <f aca="false">SUMA(AP33:AS33)</f>
        <v>5964522613</v>
      </c>
      <c r="AU33" s="46" t="n">
        <v>0</v>
      </c>
      <c r="AV33" s="46" t="n">
        <v>480599550</v>
      </c>
      <c r="AW33" s="46" t="n">
        <v>2667763991.64546</v>
      </c>
      <c r="AX33" s="47" t="n">
        <v>0</v>
      </c>
      <c r="AY33" s="48" t="n">
        <f aca="false">SUMA(AU33:AX33)</f>
        <v>3148363541.64546</v>
      </c>
      <c r="AZ33" s="49"/>
      <c r="BA33" s="49"/>
      <c r="BB33" s="50" t="s">
        <v>183</v>
      </c>
      <c r="BC33" s="51" t="s">
        <v>194</v>
      </c>
    </row>
    <row collapsed="false" customFormat="true" customHeight="true" hidden="false" ht="37.5" outlineLevel="0" r="34" s="52">
      <c r="A34" s="34" t="n">
        <f aca="false">VLOOKUP(B34,['file:///Users/user/Downloads/10. MUSI BOSA CORTE 31 DE DICIEMBRE 2016_INSUMO CONTRALORIA.xls']Hoja2!$B$47:$C$66,2,0)</f>
        <v>7</v>
      </c>
      <c r="B34" s="35" t="s">
        <v>43</v>
      </c>
      <c r="C34" s="34" t="n">
        <f aca="false">VLOOKUP(D34,['file:///Users/user/Downloads/10. MUSI BOSA CORTE 31 DE DICIEMBRE 2016_INSUMO CONTRALORIA.xls']Hoja2!$B$8:$C$10,2,0)</f>
        <v>1</v>
      </c>
      <c r="D34" s="36" t="s">
        <v>44</v>
      </c>
      <c r="E34" s="34" t="n">
        <f aca="false">VLOOKUP(F34,['file:///Users/user/Downloads/10. MUSI BOSA CORTE 31 DE DICIEMBRE 2016_INSUMO CONTRALORIA.xls']Hoja2!$B$12:$C$40,2,0)</f>
        <v>8</v>
      </c>
      <c r="F34" s="36" t="s">
        <v>139</v>
      </c>
      <c r="G34" s="37" t="n">
        <v>354</v>
      </c>
      <c r="H34" s="36" t="s">
        <v>195</v>
      </c>
      <c r="I34" s="38" t="str">
        <f aca="false">VLOOKUP(J34,['file:///Users/user/Downloads/10. MUSI BOSA CORTE 31 DE DICIEMBRE 2016_INSUMO CONTRALORIA.xls']Hoja1!$D$81:$G$158,2,0)</f>
        <v>N/A</v>
      </c>
      <c r="J34" s="39" t="s">
        <v>196</v>
      </c>
      <c r="K34" s="38" t="n">
        <v>839</v>
      </c>
      <c r="L34" s="39" t="s">
        <v>179</v>
      </c>
      <c r="M34" s="38"/>
      <c r="N34" s="39" t="s">
        <v>49</v>
      </c>
      <c r="O34" s="40" t="n">
        <v>1</v>
      </c>
      <c r="P34" s="36" t="s">
        <v>197</v>
      </c>
      <c r="Q34" s="36" t="s">
        <v>198</v>
      </c>
      <c r="R34" s="39" t="str">
        <f aca="false">VLOOKUP(J34,['file:///Users/user/Downloads/10. MUSI BOSA CORTE 31 DE DICIEMBRE 2016_INSUMO CONTRALORIA.xls']Hoja1!$D$81:$G$158,4,0)</f>
        <v>N/A</v>
      </c>
      <c r="S34" s="39" t="str">
        <f aca="false">VLOOKUP(J34,['file:///Users/user/Downloads/10. MUSI BOSA CORTE 31 DE DICIEMBRE 2016_INSUMO CONTRALORIA.xls']Hoja1!$D$81:$G$158,3,0)</f>
        <v>N/A</v>
      </c>
      <c r="T34" s="35" t="s">
        <v>52</v>
      </c>
      <c r="U34" s="41" t="n">
        <v>1</v>
      </c>
      <c r="V34" s="42" t="n">
        <f aca="false">AJ34/O34</f>
        <v>1</v>
      </c>
      <c r="W34" s="42" t="n">
        <f aca="false">U34*V34</f>
        <v>1</v>
      </c>
      <c r="X34" s="42" t="n">
        <f aca="false">AO34/O34</f>
        <v>0</v>
      </c>
      <c r="Y34" s="42" t="n">
        <f aca="false">X34*U34</f>
        <v>0</v>
      </c>
      <c r="Z34" s="38" t="n">
        <v>0</v>
      </c>
      <c r="AA34" s="40" t="n">
        <v>0</v>
      </c>
      <c r="AB34" s="40" t="n">
        <v>1</v>
      </c>
      <c r="AC34" s="40" t="n">
        <v>0</v>
      </c>
      <c r="AD34" s="40" t="n">
        <v>0</v>
      </c>
      <c r="AE34" s="40" t="n">
        <f aca="false">SI(T34="Constante";PROMEDIO(AA34;AB34;AC34;AD34);SI(T34="Suma";SUMA(AA34;AB34;AC34;AD34);0))</f>
        <v>1</v>
      </c>
      <c r="AF34" s="40" t="n">
        <v>0</v>
      </c>
      <c r="AG34" s="40" t="n">
        <v>1</v>
      </c>
      <c r="AH34" s="43" t="n">
        <v>0</v>
      </c>
      <c r="AI34" s="44" t="n">
        <v>0</v>
      </c>
      <c r="AJ34" s="40" t="n">
        <f aca="false">SI(T34="Constante";PROMEDIO(AF34;AG34;AH34;AI34);SI(T34="Suma";SUMA(AF34;AG34;AH34;AI34);0))</f>
        <v>1</v>
      </c>
      <c r="AK34" s="40" t="n">
        <v>0</v>
      </c>
      <c r="AL34" s="43" t="n">
        <v>0</v>
      </c>
      <c r="AM34" s="45" t="n">
        <v>0</v>
      </c>
      <c r="AN34" s="45" t="n">
        <v>0</v>
      </c>
      <c r="AO34" s="40" t="n">
        <f aca="false">SI(T34="Constante";PROMEDIO(AK34;AL34;AM34;AN34);SI(T34="Suma";SUMA(AK34;AL34;AM34;AN34);0))</f>
        <v>0</v>
      </c>
      <c r="AP34" s="46" t="n">
        <v>0</v>
      </c>
      <c r="AQ34" s="46" t="n">
        <v>300000000</v>
      </c>
      <c r="AR34" s="46" t="n">
        <v>0</v>
      </c>
      <c r="AS34" s="47" t="n">
        <v>0</v>
      </c>
      <c r="AT34" s="46" t="n">
        <f aca="false">SUMA(AP34:AS34)</f>
        <v>300000000</v>
      </c>
      <c r="AU34" s="46" t="n">
        <v>0</v>
      </c>
      <c r="AV34" s="46" t="n">
        <v>0</v>
      </c>
      <c r="AW34" s="46" t="n">
        <v>0</v>
      </c>
      <c r="AX34" s="47" t="n">
        <v>0</v>
      </c>
      <c r="AY34" s="48" t="n">
        <f aca="false">SUMA(AU34:AX34)</f>
        <v>0</v>
      </c>
      <c r="AZ34" s="49"/>
      <c r="BA34" s="49"/>
      <c r="BB34" s="50" t="s">
        <v>183</v>
      </c>
      <c r="BC34" s="51"/>
    </row>
    <row collapsed="false" customFormat="true" customHeight="true" hidden="false" ht="37.5" outlineLevel="0" r="35" s="52">
      <c r="A35" s="34" t="n">
        <f aca="false">VLOOKUP(B35,['file:///Users/user/Downloads/10. MUSI BOSA CORTE 31 DE DICIEMBRE 2016_INSUMO CONTRALORIA.xls']Hoja2!$B$47:$C$66,2,0)</f>
        <v>7</v>
      </c>
      <c r="B35" s="35" t="s">
        <v>43</v>
      </c>
      <c r="C35" s="34" t="n">
        <f aca="false">VLOOKUP(D35,['file:///Users/user/Downloads/10. MUSI BOSA CORTE 31 DE DICIEMBRE 2016_INSUMO CONTRALORIA.xls']Hoja2!$B$8:$C$10,2,0)</f>
        <v>1</v>
      </c>
      <c r="D35" s="36" t="s">
        <v>44</v>
      </c>
      <c r="E35" s="34" t="n">
        <f aca="false">VLOOKUP(F35,['file:///Users/user/Downloads/10. MUSI BOSA CORTE 31 DE DICIEMBRE 2016_INSUMO CONTRALORIA.xls']Hoja2!$B$12:$C$40,2,0)</f>
        <v>15</v>
      </c>
      <c r="F35" s="36" t="s">
        <v>199</v>
      </c>
      <c r="G35" s="37" t="n">
        <v>356</v>
      </c>
      <c r="H35" s="36" t="s">
        <v>200</v>
      </c>
      <c r="I35" s="38" t="str">
        <f aca="false">VLOOKUP(J35,['file:///Users/user/Downloads/10. MUSI BOSA CORTE 31 DE DICIEMBRE 2016_INSUMO CONTRALORIA.xls']Hoja1!$D$81:$G$158,2,0)</f>
        <v>N/A</v>
      </c>
      <c r="J35" s="39" t="s">
        <v>196</v>
      </c>
      <c r="K35" s="38" t="n">
        <v>840</v>
      </c>
      <c r="L35" s="39" t="s">
        <v>201</v>
      </c>
      <c r="M35" s="38" t="n">
        <v>1</v>
      </c>
      <c r="N35" s="39" t="s">
        <v>143</v>
      </c>
      <c r="O35" s="40" t="n">
        <v>100</v>
      </c>
      <c r="P35" s="36" t="s">
        <v>202</v>
      </c>
      <c r="Q35" s="36" t="s">
        <v>203</v>
      </c>
      <c r="R35" s="39" t="str">
        <f aca="false">VLOOKUP(J35,['file:///Users/user/Downloads/10. MUSI BOSA CORTE 31 DE DICIEMBRE 2016_INSUMO CONTRALORIA.xls']Hoja1!$D$81:$G$158,4,0)</f>
        <v>N/A</v>
      </c>
      <c r="S35" s="39" t="str">
        <f aca="false">VLOOKUP(J35,['file:///Users/user/Downloads/10. MUSI BOSA CORTE 31 DE DICIEMBRE 2016_INSUMO CONTRALORIA.xls']Hoja1!$D$81:$G$158,3,0)</f>
        <v>N/A</v>
      </c>
      <c r="T35" s="35" t="s">
        <v>52</v>
      </c>
      <c r="U35" s="41" t="n">
        <v>1</v>
      </c>
      <c r="V35" s="42" t="n">
        <f aca="false">AJ35/O35</f>
        <v>0</v>
      </c>
      <c r="W35" s="42" t="n">
        <f aca="false">U35*V35</f>
        <v>0</v>
      </c>
      <c r="X35" s="42" t="n">
        <f aca="false">AO35/O35</f>
        <v>0</v>
      </c>
      <c r="Y35" s="42" t="n">
        <f aca="false">X35*U35</f>
        <v>0</v>
      </c>
      <c r="Z35" s="38" t="n">
        <v>1</v>
      </c>
      <c r="AA35" s="40" t="n">
        <v>50</v>
      </c>
      <c r="AB35" s="40" t="n">
        <v>100</v>
      </c>
      <c r="AC35" s="40" t="n">
        <v>0</v>
      </c>
      <c r="AD35" s="40" t="n">
        <v>0</v>
      </c>
      <c r="AE35" s="40" t="n">
        <v>100</v>
      </c>
      <c r="AF35" s="40" t="n">
        <v>0</v>
      </c>
      <c r="AG35" s="40" t="n">
        <v>0</v>
      </c>
      <c r="AH35" s="43" t="n">
        <v>0</v>
      </c>
      <c r="AI35" s="44" t="n">
        <v>0</v>
      </c>
      <c r="AJ35" s="40" t="n">
        <f aca="false">SI(T35="Constante";PROMEDIO(AF35;AG35;AH35;AI35);SI(T35="Suma";SUMA(AF35;AG35;AH35;AI35);0))</f>
        <v>0</v>
      </c>
      <c r="AK35" s="40" t="n">
        <v>0</v>
      </c>
      <c r="AL35" s="43" t="n">
        <v>0</v>
      </c>
      <c r="AM35" s="45" t="n">
        <v>0</v>
      </c>
      <c r="AN35" s="45" t="n">
        <v>0</v>
      </c>
      <c r="AO35" s="40" t="n">
        <f aca="false">SI(T35="Constante";PROMEDIO(AK35;AL35;AM35;AN35);SI(T35="Suma";SUMA(AK35;AL35;AM35;AN35);0))</f>
        <v>0</v>
      </c>
      <c r="AP35" s="46" t="n">
        <v>0</v>
      </c>
      <c r="AQ35" s="46" t="n">
        <v>0</v>
      </c>
      <c r="AR35" s="46" t="n">
        <v>0</v>
      </c>
      <c r="AS35" s="47" t="n">
        <v>0</v>
      </c>
      <c r="AT35" s="46" t="n">
        <f aca="false">SUMA(AP35:AS35)</f>
        <v>0</v>
      </c>
      <c r="AU35" s="46" t="n">
        <v>0</v>
      </c>
      <c r="AV35" s="46" t="n">
        <v>0</v>
      </c>
      <c r="AW35" s="46" t="n">
        <v>0</v>
      </c>
      <c r="AX35" s="47" t="n">
        <v>0</v>
      </c>
      <c r="AY35" s="48" t="n">
        <f aca="false">SUMA(AU35:AX35)</f>
        <v>0</v>
      </c>
      <c r="AZ35" s="49"/>
      <c r="BA35" s="49"/>
      <c r="BB35" s="49" t="s">
        <v>65</v>
      </c>
      <c r="BC35" s="51"/>
    </row>
    <row collapsed="false" customFormat="true" customHeight="true" hidden="false" ht="37.5" outlineLevel="0" r="36" s="52">
      <c r="A36" s="34" t="n">
        <f aca="false">VLOOKUP(B36,['file:///Users/user/Downloads/10. MUSI BOSA CORTE 31 DE DICIEMBRE 2016_INSUMO CONTRALORIA.xls']Hoja2!$B$47:$C$66,2,0)</f>
        <v>7</v>
      </c>
      <c r="B36" s="35" t="s">
        <v>43</v>
      </c>
      <c r="C36" s="34" t="n">
        <f aca="false">VLOOKUP(D36,['file:///Users/user/Downloads/10. MUSI BOSA CORTE 31 DE DICIEMBRE 2016_INSUMO CONTRALORIA.xls']Hoja2!$B$8:$C$10,2,0)</f>
        <v>1</v>
      </c>
      <c r="D36" s="36" t="s">
        <v>44</v>
      </c>
      <c r="E36" s="34" t="n">
        <f aca="false">VLOOKUP(F36,['file:///Users/user/Downloads/10. MUSI BOSA CORTE 31 DE DICIEMBRE 2016_INSUMO CONTRALORIA.xls']Hoja2!$B$12:$C$40,2,0)</f>
        <v>15</v>
      </c>
      <c r="F36" s="36" t="s">
        <v>199</v>
      </c>
      <c r="G36" s="37" t="n">
        <v>357</v>
      </c>
      <c r="H36" s="36" t="s">
        <v>204</v>
      </c>
      <c r="I36" s="38" t="n">
        <f aca="false">VLOOKUP(J36,['file:///Users/user/Downloads/10. MUSI BOSA CORTE 31 DE DICIEMBRE 2016_INSUMO CONTRALORIA.xls']Hoja1!$D$81:$G$158,2,0)</f>
        <v>39</v>
      </c>
      <c r="J36" s="39" t="s">
        <v>205</v>
      </c>
      <c r="K36" s="38" t="n">
        <v>840</v>
      </c>
      <c r="L36" s="39" t="s">
        <v>201</v>
      </c>
      <c r="M36" s="38" t="n">
        <v>2</v>
      </c>
      <c r="N36" s="39" t="s">
        <v>56</v>
      </c>
      <c r="O36" s="40" t="n">
        <v>8000</v>
      </c>
      <c r="P36" s="36" t="s">
        <v>63</v>
      </c>
      <c r="Q36" s="36" t="s">
        <v>206</v>
      </c>
      <c r="R36" s="39" t="str">
        <f aca="false">VLOOKUP(J36,['file:///Users/user/Downloads/10. MUSI BOSA CORTE 31 DE DICIEMBRE 2016_INSUMO CONTRALORIA.xls']Hoja1!$D$81:$G$158,4,0)</f>
        <v>7. HABITAT</v>
      </c>
      <c r="S36" s="39" t="str">
        <f aca="false">VLOOKUP(J36,['file:///Users/user/Downloads/10. MUSI BOSA CORTE 31 DE DICIEMBRE 2016_INSUMO CONTRALORIA.xls']Hoja1!$D$81:$G$158,3,0)</f>
        <v>Regulación legalización de predios y apoyo a la vivienda</v>
      </c>
      <c r="T36" s="35" t="s">
        <v>52</v>
      </c>
      <c r="U36" s="41" t="n">
        <v>1</v>
      </c>
      <c r="V36" s="42" t="n">
        <f aca="false">AJ36/O36</f>
        <v>0.55575</v>
      </c>
      <c r="W36" s="42" t="n">
        <f aca="false">U36*V36</f>
        <v>0.55575</v>
      </c>
      <c r="X36" s="42" t="n">
        <f aca="false">AO36/O36</f>
        <v>0.528</v>
      </c>
      <c r="Y36" s="42" t="n">
        <f aca="false">X36*U36</f>
        <v>0.528</v>
      </c>
      <c r="Z36" s="38" t="n">
        <v>0</v>
      </c>
      <c r="AA36" s="40" t="n">
        <v>2000</v>
      </c>
      <c r="AB36" s="40" t="n">
        <v>2000</v>
      </c>
      <c r="AC36" s="40" t="n">
        <v>2000</v>
      </c>
      <c r="AD36" s="40" t="n">
        <v>2000</v>
      </c>
      <c r="AE36" s="40" t="n">
        <f aca="false">SI(T36="Constante";PROMEDIO(AA36;AB36;AC36;AD36);SI(T36="Suma";SUMA(AA36;AB36;AC36;AD36);0))</f>
        <v>8000</v>
      </c>
      <c r="AF36" s="40" t="n">
        <v>2000</v>
      </c>
      <c r="AG36" s="40" t="n">
        <v>2000</v>
      </c>
      <c r="AH36" s="43" t="n">
        <v>446</v>
      </c>
      <c r="AI36" s="44" t="n">
        <v>0</v>
      </c>
      <c r="AJ36" s="40" t="n">
        <f aca="false">SI(T36="Constante";PROMEDIO(AF36;AG36;AH36;AI36);SI(T36="Suma";SUMA(AF36;AG36;AH36;AI36);0))</f>
        <v>4446</v>
      </c>
      <c r="AK36" s="40" t="n">
        <v>2000</v>
      </c>
      <c r="AL36" s="43" t="n">
        <f aca="false">1700+524</f>
        <v>2224</v>
      </c>
      <c r="AM36" s="45" t="n">
        <v>0</v>
      </c>
      <c r="AN36" s="45" t="n">
        <v>0</v>
      </c>
      <c r="AO36" s="40" t="n">
        <f aca="false">SI(T36="Constante";PROMEDIO(AK36;AL36;AM36;AN36);SI(T36="Suma";SUMA(AK36;AL36;AM36;AN36);0))</f>
        <v>4224</v>
      </c>
      <c r="AP36" s="46" t="n">
        <v>127265605</v>
      </c>
      <c r="AQ36" s="46" t="n">
        <v>202202016</v>
      </c>
      <c r="AR36" s="86" t="n">
        <v>95961143</v>
      </c>
      <c r="AS36" s="47" t="n">
        <v>0</v>
      </c>
      <c r="AT36" s="46" t="n">
        <f aca="false">SUMA(AP36:AS36)</f>
        <v>425428764</v>
      </c>
      <c r="AU36" s="46" t="n">
        <v>0</v>
      </c>
      <c r="AV36" s="46" t="n">
        <v>0</v>
      </c>
      <c r="AW36" s="46" t="n">
        <v>38376686</v>
      </c>
      <c r="AX36" s="47" t="n">
        <v>0</v>
      </c>
      <c r="AY36" s="48" t="n">
        <f aca="false">SUMA(AU36:AX36)</f>
        <v>38376686</v>
      </c>
      <c r="AZ36" s="49"/>
      <c r="BA36" s="49"/>
      <c r="BB36" s="49" t="s">
        <v>207</v>
      </c>
      <c r="BC36" s="51" t="s">
        <v>208</v>
      </c>
    </row>
    <row collapsed="false" customFormat="true" customHeight="true" hidden="false" ht="37.5" outlineLevel="0" r="37" s="52">
      <c r="A37" s="34" t="n">
        <f aca="false">VLOOKUP(B37,['file:///Users/user/Downloads/10. MUSI BOSA CORTE 31 DE DICIEMBRE 2016_INSUMO CONTRALORIA.xls']Hoja2!$B$47:$C$66,2,0)</f>
        <v>7</v>
      </c>
      <c r="B37" s="35" t="s">
        <v>43</v>
      </c>
      <c r="C37" s="34" t="n">
        <f aca="false">VLOOKUP(D37,['file:///Users/user/Downloads/10. MUSI BOSA CORTE 31 DE DICIEMBRE 2016_INSUMO CONTRALORIA.xls']Hoja2!$B$8:$C$10,2,0)</f>
        <v>2</v>
      </c>
      <c r="D37" s="36" t="s">
        <v>209</v>
      </c>
      <c r="E37" s="34" t="n">
        <f aca="false">VLOOKUP(F37,['file:///Users/user/Downloads/10. MUSI BOSA CORTE 31 DE DICIEMBRE 2016_INSUMO CONTRALORIA.xls']Hoja2!$B$12:$C$40,2,0)</f>
        <v>17</v>
      </c>
      <c r="F37" s="36" t="s">
        <v>210</v>
      </c>
      <c r="G37" s="37" t="n">
        <v>358</v>
      </c>
      <c r="H37" s="36" t="s">
        <v>211</v>
      </c>
      <c r="I37" s="38" t="n">
        <f aca="false">VLOOKUP(J37,['file:///Users/user/Downloads/10. MUSI BOSA CORTE 31 DE DICIEMBRE 2016_INSUMO CONTRALORIA.xls']Hoja1!$D$81:$G$158,2,0)</f>
        <v>59</v>
      </c>
      <c r="J37" s="39" t="s">
        <v>212</v>
      </c>
      <c r="K37" s="38" t="n">
        <v>841</v>
      </c>
      <c r="L37" s="39" t="s">
        <v>213</v>
      </c>
      <c r="M37" s="38" t="n">
        <v>1</v>
      </c>
      <c r="N37" s="39" t="s">
        <v>214</v>
      </c>
      <c r="O37" s="40" t="n">
        <v>8000</v>
      </c>
      <c r="P37" s="36" t="s">
        <v>215</v>
      </c>
      <c r="Q37" s="36" t="s">
        <v>216</v>
      </c>
      <c r="R37" s="39" t="str">
        <f aca="false">VLOOKUP(J37,['file:///Users/user/Downloads/10. MUSI BOSA CORTE 31 DE DICIEMBRE 2016_INSUMO CONTRALORIA.xls']Hoja1!$D$81:$G$158,4,0)</f>
        <v>1. AMBIENTE</v>
      </c>
      <c r="S37" s="39" t="str">
        <f aca="false">VLOOKUP(J37,['file:///Users/user/Downloads/10. MUSI BOSA CORTE 31 DE DICIEMBRE 2016_INSUMO CONTRALORIA.xls']Hoja1!$D$81:$G$158,3,0)</f>
        <v>Plantación y mantenimiento de arboles, jardines y especies vegetales </v>
      </c>
      <c r="T37" s="35" t="s">
        <v>52</v>
      </c>
      <c r="U37" s="41" t="n">
        <v>1</v>
      </c>
      <c r="V37" s="42" t="n">
        <f aca="false">AJ37/O37</f>
        <v>0.6875</v>
      </c>
      <c r="W37" s="42" t="n">
        <f aca="false">U37*V37</f>
        <v>0.6875</v>
      </c>
      <c r="X37" s="42" t="n">
        <f aca="false">AO37/O37</f>
        <v>0.75</v>
      </c>
      <c r="Y37" s="42" t="n">
        <f aca="false">X37*U37</f>
        <v>0.75</v>
      </c>
      <c r="Z37" s="38" t="n">
        <v>0</v>
      </c>
      <c r="AA37" s="40" t="n">
        <v>2000</v>
      </c>
      <c r="AB37" s="40" t="n">
        <v>2000</v>
      </c>
      <c r="AC37" s="40" t="n">
        <v>2000</v>
      </c>
      <c r="AD37" s="40" t="n">
        <v>2000</v>
      </c>
      <c r="AE37" s="40" t="n">
        <f aca="false">SI(T37="Constante";PROMEDIO(AA37;AB37;AC37;AD37);SI(T37="Suma";SUMA(AA37;AB37;AC37;AD37);0))</f>
        <v>8000</v>
      </c>
      <c r="AF37" s="40" t="n">
        <v>2500</v>
      </c>
      <c r="AG37" s="40" t="n">
        <v>0</v>
      </c>
      <c r="AH37" s="43" t="n">
        <v>3000</v>
      </c>
      <c r="AI37" s="44" t="n">
        <v>0</v>
      </c>
      <c r="AJ37" s="40" t="n">
        <f aca="false">SI(T37="Constante";PROMEDIO(AF37;AG37;AH37;AI37);SI(T37="Suma";SUMA(AF37;AG37;AH37;AI37);0))</f>
        <v>5500</v>
      </c>
      <c r="AK37" s="40" t="n">
        <v>3000</v>
      </c>
      <c r="AL37" s="43" t="n">
        <v>0</v>
      </c>
      <c r="AM37" s="45" t="n">
        <v>3000</v>
      </c>
      <c r="AN37" s="45" t="n">
        <v>0</v>
      </c>
      <c r="AO37" s="40" t="n">
        <f aca="false">SI(T37="Constante";PROMEDIO(AK37;AL37;AM37;AN37);SI(T37="Suma";SUMA(AK37;AL37;AM37;AN37);0))</f>
        <v>6000</v>
      </c>
      <c r="AP37" s="46" t="n">
        <v>300000000</v>
      </c>
      <c r="AQ37" s="46" t="n">
        <v>0</v>
      </c>
      <c r="AR37" s="46" t="n">
        <v>857259098</v>
      </c>
      <c r="AS37" s="47" t="n">
        <f aca="false">334697552+52953618</f>
        <v>387651170</v>
      </c>
      <c r="AT37" s="46" t="n">
        <f aca="false">SUMA(AP37:AS37)</f>
        <v>1544910268</v>
      </c>
      <c r="AU37" s="46" t="n">
        <v>0</v>
      </c>
      <c r="AV37" s="46" t="n">
        <v>0</v>
      </c>
      <c r="AW37" s="46" t="n">
        <v>311131468</v>
      </c>
      <c r="AX37" s="47" t="n">
        <v>0</v>
      </c>
      <c r="AY37" s="48" t="n">
        <f aca="false">SUMA(AU37:AX37)</f>
        <v>311131468</v>
      </c>
      <c r="AZ37" s="49"/>
      <c r="BA37" s="49"/>
      <c r="BB37" s="49" t="s">
        <v>217</v>
      </c>
      <c r="BC37" s="51" t="s">
        <v>218</v>
      </c>
    </row>
    <row collapsed="false" customFormat="true" customHeight="true" hidden="false" ht="37.5" outlineLevel="0" r="38" s="52">
      <c r="A38" s="34" t="n">
        <f aca="false">VLOOKUP(B38,['file:///Users/user/Downloads/10. MUSI BOSA CORTE 31 DE DICIEMBRE 2016_INSUMO CONTRALORIA.xls']Hoja2!$B$47:$C$66,2,0)</f>
        <v>7</v>
      </c>
      <c r="B38" s="35" t="s">
        <v>43</v>
      </c>
      <c r="C38" s="34" t="n">
        <f aca="false">VLOOKUP(D38,['file:///Users/user/Downloads/10. MUSI BOSA CORTE 31 DE DICIEMBRE 2016_INSUMO CONTRALORIA.xls']Hoja2!$B$8:$C$10,2,0)</f>
        <v>2</v>
      </c>
      <c r="D38" s="36" t="s">
        <v>209</v>
      </c>
      <c r="E38" s="34" t="n">
        <f aca="false">VLOOKUP(F38,['file:///Users/user/Downloads/10. MUSI BOSA CORTE 31 DE DICIEMBRE 2016_INSUMO CONTRALORIA.xls']Hoja2!$B$12:$C$40,2,0)</f>
        <v>17</v>
      </c>
      <c r="F38" s="36" t="s">
        <v>210</v>
      </c>
      <c r="G38" s="37" t="n">
        <v>359</v>
      </c>
      <c r="H38" s="36" t="s">
        <v>219</v>
      </c>
      <c r="I38" s="38" t="n">
        <f aca="false">VLOOKUP(J38,['file:///Users/user/Downloads/10. MUSI BOSA CORTE 31 DE DICIEMBRE 2016_INSUMO CONTRALORIA.xls']Hoja1!$D$81:$G$158,2,0)</f>
        <v>45</v>
      </c>
      <c r="J38" s="39" t="s">
        <v>220</v>
      </c>
      <c r="K38" s="38" t="n">
        <v>841</v>
      </c>
      <c r="L38" s="39" t="s">
        <v>213</v>
      </c>
      <c r="M38" s="38" t="n">
        <v>2</v>
      </c>
      <c r="N38" s="39" t="s">
        <v>221</v>
      </c>
      <c r="O38" s="40" t="n">
        <v>320000</v>
      </c>
      <c r="P38" s="36" t="s">
        <v>222</v>
      </c>
      <c r="Q38" s="36" t="s">
        <v>223</v>
      </c>
      <c r="R38" s="39" t="str">
        <f aca="false">VLOOKUP(J38,['file:///Users/user/Downloads/10. MUSI BOSA CORTE 31 DE DICIEMBRE 2016_INSUMO CONTRALORIA.xls']Hoja1!$D$81:$G$158,4,0)</f>
        <v>1. AMBIENTE</v>
      </c>
      <c r="S38" s="39" t="str">
        <f aca="false">VLOOKUP(J38,['file:///Users/user/Downloads/10. MUSI BOSA CORTE 31 DE DICIEMBRE 2016_INSUMO CONTRALORIA.xls']Hoja1!$D$81:$G$158,3,0)</f>
        <v>Calidad ambiental y preservación del patrimonio natural</v>
      </c>
      <c r="T38" s="35" t="s">
        <v>52</v>
      </c>
      <c r="U38" s="41" t="n">
        <v>1</v>
      </c>
      <c r="V38" s="42" t="n">
        <f aca="false">AJ38/O38</f>
        <v>0.58703125</v>
      </c>
      <c r="W38" s="42" t="n">
        <f aca="false">U38*V38</f>
        <v>0.58703125</v>
      </c>
      <c r="X38" s="42" t="n">
        <f aca="false">AO38/O38</f>
        <v>0.729625</v>
      </c>
      <c r="Y38" s="42" t="n">
        <f aca="false">X38*U38</f>
        <v>0.729625</v>
      </c>
      <c r="Z38" s="38" t="n">
        <v>0</v>
      </c>
      <c r="AA38" s="40" t="n">
        <v>80000</v>
      </c>
      <c r="AB38" s="40" t="n">
        <v>80000</v>
      </c>
      <c r="AC38" s="40" t="n">
        <v>80000</v>
      </c>
      <c r="AD38" s="40" t="n">
        <v>80000</v>
      </c>
      <c r="AE38" s="40" t="n">
        <f aca="false">SI(T38="Constante";PROMEDIO(AA38;AB38;AC38;AD38);SI(T38="Suma";SUMA(AA38;AB38;AC38;AD38);0))</f>
        <v>320000</v>
      </c>
      <c r="AF38" s="40" t="n">
        <v>80000</v>
      </c>
      <c r="AG38" s="40" t="n">
        <v>90000</v>
      </c>
      <c r="AH38" s="43" t="n">
        <v>17850</v>
      </c>
      <c r="AI38" s="44" t="n">
        <v>0</v>
      </c>
      <c r="AJ38" s="40" t="n">
        <f aca="false">SI(T38="Constante";PROMEDIO(AF38;AG38;AH38;AI38);SI(T38="Suma";SUMA(AF38;AG38;AH38;AI38);0))</f>
        <v>187850</v>
      </c>
      <c r="AK38" s="40" t="n">
        <v>96910</v>
      </c>
      <c r="AL38" s="43" t="n">
        <v>108000</v>
      </c>
      <c r="AM38" s="45" t="n">
        <f aca="false">17850+10720</f>
        <v>28570</v>
      </c>
      <c r="AN38" s="45" t="n">
        <v>0</v>
      </c>
      <c r="AO38" s="40" t="n">
        <f aca="false">SI(T38="Constante";PROMEDIO(AK38;AL38;AM38;AN38);SI(T38="Suma";SUMA(AK38;AL38;AM38;AN38);0))</f>
        <v>233480</v>
      </c>
      <c r="AP38" s="46" t="n">
        <v>150000000</v>
      </c>
      <c r="AQ38" s="46" t="n">
        <v>2975629230</v>
      </c>
      <c r="AR38" s="86" t="n">
        <f aca="false">9000000+136232768+300984091+75646368</f>
        <v>521863227</v>
      </c>
      <c r="AS38" s="47" t="n">
        <v>0</v>
      </c>
      <c r="AT38" s="46" t="n">
        <f aca="false">SUMA(AP38:AS38)</f>
        <v>3647492457</v>
      </c>
      <c r="AU38" s="46" t="n">
        <v>0</v>
      </c>
      <c r="AV38" s="46" t="n">
        <v>0</v>
      </c>
      <c r="AW38" s="46" t="n">
        <v>600000</v>
      </c>
      <c r="AX38" s="47" t="n">
        <v>0</v>
      </c>
      <c r="AY38" s="48" t="n">
        <f aca="false">SUMA(AU38:AX38)</f>
        <v>600000</v>
      </c>
      <c r="AZ38" s="49"/>
      <c r="BA38" s="49"/>
      <c r="BB38" s="49" t="s">
        <v>217</v>
      </c>
      <c r="BC38" s="51"/>
    </row>
    <row collapsed="false" customFormat="true" customHeight="true" hidden="false" ht="37.5" outlineLevel="0" r="39" s="52">
      <c r="A39" s="34" t="n">
        <f aca="false">VLOOKUP(B39,['file:///Users/user/Downloads/10. MUSI BOSA CORTE 31 DE DICIEMBRE 2016_INSUMO CONTRALORIA.xls']Hoja2!$B$47:$C$66,2,0)</f>
        <v>7</v>
      </c>
      <c r="B39" s="35" t="s">
        <v>43</v>
      </c>
      <c r="C39" s="34" t="n">
        <f aca="false">VLOOKUP(D39,['file:///Users/user/Downloads/10. MUSI BOSA CORTE 31 DE DICIEMBRE 2016_INSUMO CONTRALORIA.xls']Hoja2!$B$8:$C$10,2,0)</f>
        <v>2</v>
      </c>
      <c r="D39" s="36" t="s">
        <v>209</v>
      </c>
      <c r="E39" s="34" t="n">
        <f aca="false">VLOOKUP(F39,['file:///Users/user/Downloads/10. MUSI BOSA CORTE 31 DE DICIEMBRE 2016_INSUMO CONTRALORIA.xls']Hoja2!$B$12:$C$40,2,0)</f>
        <v>17</v>
      </c>
      <c r="F39" s="36" t="s">
        <v>210</v>
      </c>
      <c r="G39" s="37" t="n">
        <v>360</v>
      </c>
      <c r="H39" s="36" t="s">
        <v>224</v>
      </c>
      <c r="I39" s="38" t="n">
        <f aca="false">VLOOKUP(J39,['file:///Users/user/Downloads/10. MUSI BOSA CORTE 31 DE DICIEMBRE 2016_INSUMO CONTRALORIA.xls']Hoja1!$D$81:$G$158,2,0)</f>
        <v>41</v>
      </c>
      <c r="J39" s="39" t="s">
        <v>225</v>
      </c>
      <c r="K39" s="38" t="n">
        <v>841</v>
      </c>
      <c r="L39" s="39" t="s">
        <v>213</v>
      </c>
      <c r="M39" s="38" t="n">
        <v>3</v>
      </c>
      <c r="N39" s="39" t="s">
        <v>56</v>
      </c>
      <c r="O39" s="40" t="n">
        <v>2000</v>
      </c>
      <c r="P39" s="36" t="s">
        <v>63</v>
      </c>
      <c r="Q39" s="36" t="s">
        <v>226</v>
      </c>
      <c r="R39" s="39" t="str">
        <f aca="false">VLOOKUP(J39,['file:///Users/user/Downloads/10. MUSI BOSA CORTE 31 DE DICIEMBRE 2016_INSUMO CONTRALORIA.xls']Hoja1!$D$81:$G$158,4,0)</f>
        <v>1. AMBIENTE</v>
      </c>
      <c r="S39" s="39" t="str">
        <f aca="false">VLOOKUP(J39,['file:///Users/user/Downloads/10. MUSI BOSA CORTE 31 DE DICIEMBRE 2016_INSUMO CONTRALORIA.xls']Hoja1!$D$81:$G$158,3,0)</f>
        <v>Calidad ambiental y preservación del patrimonio natural</v>
      </c>
      <c r="T39" s="35" t="s">
        <v>52</v>
      </c>
      <c r="U39" s="41" t="n">
        <v>1</v>
      </c>
      <c r="V39" s="42" t="n">
        <f aca="false">AJ39/O39</f>
        <v>1</v>
      </c>
      <c r="W39" s="42" t="n">
        <f aca="false">U39*V39</f>
        <v>1</v>
      </c>
      <c r="X39" s="42" t="n">
        <f aca="false">AO39/O39</f>
        <v>1.4</v>
      </c>
      <c r="Y39" s="42" t="n">
        <f aca="false">X39*U39</f>
        <v>1.4</v>
      </c>
      <c r="Z39" s="38" t="n">
        <v>0</v>
      </c>
      <c r="AA39" s="40" t="n">
        <v>500</v>
      </c>
      <c r="AB39" s="40" t="n">
        <v>500</v>
      </c>
      <c r="AC39" s="40" t="n">
        <v>500</v>
      </c>
      <c r="AD39" s="40" t="n">
        <v>500</v>
      </c>
      <c r="AE39" s="40" t="n">
        <f aca="false">SI(T39="Constante";PROMEDIO(AA39;AB39;AC39;AD39);SI(T39="Suma";SUMA(AA39;AB39;AC39;AD39);0))</f>
        <v>2000</v>
      </c>
      <c r="AF39" s="40" t="n">
        <v>500</v>
      </c>
      <c r="AG39" s="40" t="n">
        <v>1500</v>
      </c>
      <c r="AH39" s="43" t="n">
        <v>0</v>
      </c>
      <c r="AI39" s="44" t="n">
        <v>0</v>
      </c>
      <c r="AJ39" s="40" t="n">
        <f aca="false">SI(T39="Constante";PROMEDIO(AF39;AG39;AH39;AI39);SI(T39="Suma";SUMA(AF39;AG39;AH39;AI39);0))</f>
        <v>2000</v>
      </c>
      <c r="AK39" s="40" t="n">
        <f aca="false">400+200+500</f>
        <v>1100</v>
      </c>
      <c r="AL39" s="43" t="n">
        <v>1700</v>
      </c>
      <c r="AM39" s="45" t="n">
        <v>0</v>
      </c>
      <c r="AN39" s="45" t="n">
        <v>0</v>
      </c>
      <c r="AO39" s="40" t="n">
        <f aca="false">SI(T39="Constante";PROMEDIO(AK39;AL39;AM39;AN39);SI(T39="Suma";SUMA(AK39;AL39;AM39;AN39);0))</f>
        <v>2800</v>
      </c>
      <c r="AP39" s="46" t="n">
        <v>300000000</v>
      </c>
      <c r="AQ39" s="46" t="n">
        <v>323370743</v>
      </c>
      <c r="AR39" s="46" t="n">
        <v>0</v>
      </c>
      <c r="AS39" s="47" t="n">
        <v>0</v>
      </c>
      <c r="AT39" s="46" t="n">
        <f aca="false">SUMA(AP39:AS39)</f>
        <v>623370743</v>
      </c>
      <c r="AU39" s="46" t="n">
        <v>0</v>
      </c>
      <c r="AV39" s="46" t="n">
        <v>0</v>
      </c>
      <c r="AW39" s="46" t="n">
        <v>0</v>
      </c>
      <c r="AX39" s="47" t="n">
        <v>0</v>
      </c>
      <c r="AY39" s="48" t="n">
        <f aca="false">SUMA(AU39:AX39)</f>
        <v>0</v>
      </c>
      <c r="AZ39" s="49"/>
      <c r="BA39" s="49"/>
      <c r="BB39" s="49" t="s">
        <v>217</v>
      </c>
      <c r="BC39" s="51"/>
    </row>
    <row collapsed="false" customFormat="true" customHeight="true" hidden="false" ht="37.5" outlineLevel="0" r="40" s="52">
      <c r="A40" s="34" t="n">
        <f aca="false">VLOOKUP(B40,['file:///Users/user/Downloads/10. MUSI BOSA CORTE 31 DE DICIEMBRE 2016_INSUMO CONTRALORIA.xls']Hoja2!$B$47:$C$66,2,0)</f>
        <v>7</v>
      </c>
      <c r="B40" s="35" t="s">
        <v>43</v>
      </c>
      <c r="C40" s="34" t="n">
        <f aca="false">VLOOKUP(D40,['file:///Users/user/Downloads/10. MUSI BOSA CORTE 31 DE DICIEMBRE 2016_INSUMO CONTRALORIA.xls']Hoja2!$B$8:$C$10,2,0)</f>
        <v>2</v>
      </c>
      <c r="D40" s="36" t="s">
        <v>209</v>
      </c>
      <c r="E40" s="34" t="n">
        <f aca="false">VLOOKUP(F40,['file:///Users/user/Downloads/10. MUSI BOSA CORTE 31 DE DICIEMBRE 2016_INSUMO CONTRALORIA.xls']Hoja2!$B$12:$C$40,2,0)</f>
        <v>17</v>
      </c>
      <c r="F40" s="36" t="s">
        <v>210</v>
      </c>
      <c r="G40" s="37" t="n">
        <v>361</v>
      </c>
      <c r="H40" s="36" t="s">
        <v>227</v>
      </c>
      <c r="I40" s="38" t="n">
        <f aca="false">VLOOKUP(J40,['file:///Users/user/Downloads/10. MUSI BOSA CORTE 31 DE DICIEMBRE 2016_INSUMO CONTRALORIA.xls']Hoja1!$D$81:$G$158,2,0)</f>
        <v>41</v>
      </c>
      <c r="J40" s="39" t="s">
        <v>225</v>
      </c>
      <c r="K40" s="38" t="n">
        <v>841</v>
      </c>
      <c r="L40" s="39" t="s">
        <v>213</v>
      </c>
      <c r="M40" s="38" t="n">
        <v>4</v>
      </c>
      <c r="N40" s="39" t="s">
        <v>56</v>
      </c>
      <c r="O40" s="40" t="n">
        <v>80</v>
      </c>
      <c r="P40" s="36" t="s">
        <v>63</v>
      </c>
      <c r="Q40" s="36" t="s">
        <v>228</v>
      </c>
      <c r="R40" s="39" t="str">
        <f aca="false">VLOOKUP(J40,['file:///Users/user/Downloads/10. MUSI BOSA CORTE 31 DE DICIEMBRE 2016_INSUMO CONTRALORIA.xls']Hoja1!$D$81:$G$158,4,0)</f>
        <v>1. AMBIENTE</v>
      </c>
      <c r="S40" s="39" t="str">
        <f aca="false">VLOOKUP(J40,['file:///Users/user/Downloads/10. MUSI BOSA CORTE 31 DE DICIEMBRE 2016_INSUMO CONTRALORIA.xls']Hoja1!$D$81:$G$158,3,0)</f>
        <v>Calidad ambiental y preservación del patrimonio natural</v>
      </c>
      <c r="T40" s="35" t="s">
        <v>52</v>
      </c>
      <c r="U40" s="41" t="n">
        <v>1</v>
      </c>
      <c r="V40" s="42" t="n">
        <f aca="false">AJ40/O40</f>
        <v>1.25</v>
      </c>
      <c r="W40" s="42" t="n">
        <f aca="false">U40*V40</f>
        <v>1.25</v>
      </c>
      <c r="X40" s="42" t="n">
        <f aca="false">AO40/O40</f>
        <v>0.75</v>
      </c>
      <c r="Y40" s="42" t="n">
        <f aca="false">X40*U40</f>
        <v>0.75</v>
      </c>
      <c r="Z40" s="38" t="n">
        <v>0</v>
      </c>
      <c r="AA40" s="40" t="n">
        <v>20</v>
      </c>
      <c r="AB40" s="40" t="n">
        <v>20</v>
      </c>
      <c r="AC40" s="40" t="n">
        <v>20</v>
      </c>
      <c r="AD40" s="40" t="n">
        <v>20</v>
      </c>
      <c r="AE40" s="40" t="n">
        <f aca="false">SI(T40="Constante";PROMEDIO(AA40;AB40;AC40;AD40);SI(T40="Suma";SUMA(AA40;AB40;AC40;AD40);0))</f>
        <v>80</v>
      </c>
      <c r="AF40" s="40" t="n">
        <v>20</v>
      </c>
      <c r="AG40" s="40" t="n">
        <v>20</v>
      </c>
      <c r="AH40" s="43" t="n">
        <v>20</v>
      </c>
      <c r="AI40" s="44" t="n">
        <v>40</v>
      </c>
      <c r="AJ40" s="40" t="n">
        <f aca="false">SI(T40="Constante";PROMEDIO(AF40;AG40;AH40;AI40);SI(T40="Suma";SUMA(AF40;AG40;AH40;AI40);0))</f>
        <v>100</v>
      </c>
      <c r="AK40" s="40" t="n">
        <v>20</v>
      </c>
      <c r="AL40" s="43" t="n">
        <v>20</v>
      </c>
      <c r="AM40" s="45" t="n">
        <v>20</v>
      </c>
      <c r="AN40" s="45" t="n">
        <v>0</v>
      </c>
      <c r="AO40" s="40" t="n">
        <f aca="false">SI(T40="Constante";PROMEDIO(AK40;AL40;AM40;AN40);SI(T40="Suma";SUMA(AK40;AL40;AM40;AN40);0))</f>
        <v>60</v>
      </c>
      <c r="AP40" s="46" t="n">
        <v>210000000</v>
      </c>
      <c r="AQ40" s="46" t="n">
        <v>289000027</v>
      </c>
      <c r="AR40" s="46" t="n">
        <v>420877675</v>
      </c>
      <c r="AS40" s="47" t="n">
        <v>650000000</v>
      </c>
      <c r="AT40" s="46" t="n">
        <f aca="false">SUMA(AP40:AS40)</f>
        <v>1569877702</v>
      </c>
      <c r="AU40" s="46" t="n">
        <v>0</v>
      </c>
      <c r="AV40" s="46" t="n">
        <v>139680005</v>
      </c>
      <c r="AW40" s="46" t="n">
        <v>205261285</v>
      </c>
      <c r="AX40" s="47" t="n">
        <v>0</v>
      </c>
      <c r="AY40" s="48" t="n">
        <f aca="false">SUMA(AU40:AX40)</f>
        <v>344941290</v>
      </c>
      <c r="AZ40" s="49"/>
      <c r="BA40" s="49"/>
      <c r="BB40" s="49" t="s">
        <v>217</v>
      </c>
      <c r="BC40" s="51"/>
      <c r="BE40" s="52" t="n">
        <f aca="false">1000000000-221000000</f>
        <v>779000000</v>
      </c>
    </row>
    <row collapsed="false" customFormat="true" customHeight="true" hidden="false" ht="37.5" outlineLevel="0" r="41" s="52">
      <c r="A41" s="34" t="n">
        <f aca="false">VLOOKUP(B41,['file:///Users/user/Downloads/10. MUSI BOSA CORTE 31 DE DICIEMBRE 2016_INSUMO CONTRALORIA.xls']Hoja2!$B$47:$C$66,2,0)</f>
        <v>7</v>
      </c>
      <c r="B41" s="35" t="s">
        <v>43</v>
      </c>
      <c r="C41" s="34" t="n">
        <f aca="false">VLOOKUP(D41,['file:///Users/user/Downloads/10. MUSI BOSA CORTE 31 DE DICIEMBRE 2016_INSUMO CONTRALORIA.xls']Hoja2!$B$8:$C$10,2,0)</f>
        <v>2</v>
      </c>
      <c r="D41" s="36" t="s">
        <v>209</v>
      </c>
      <c r="E41" s="34" t="n">
        <f aca="false">VLOOKUP(F41,['file:///Users/user/Downloads/10. MUSI BOSA CORTE 31 DE DICIEMBRE 2016_INSUMO CONTRALORIA.xls']Hoja2!$B$12:$C$40,2,0)</f>
        <v>17</v>
      </c>
      <c r="F41" s="36" t="s">
        <v>210</v>
      </c>
      <c r="G41" s="37" t="n">
        <v>362</v>
      </c>
      <c r="H41" s="36" t="s">
        <v>229</v>
      </c>
      <c r="I41" s="38" t="n">
        <f aca="false">VLOOKUP(J41,['file:///Users/user/Downloads/10. MUSI BOSA CORTE 31 DE DICIEMBRE 2016_INSUMO CONTRALORIA.xls']Hoja1!$D$81:$G$158,2,0)</f>
        <v>6</v>
      </c>
      <c r="J41" s="39" t="s">
        <v>230</v>
      </c>
      <c r="K41" s="38" t="n">
        <v>841</v>
      </c>
      <c r="L41" s="39" t="s">
        <v>213</v>
      </c>
      <c r="M41" s="38" t="n">
        <v>5</v>
      </c>
      <c r="N41" s="39" t="s">
        <v>231</v>
      </c>
      <c r="O41" s="40" t="n">
        <v>20000</v>
      </c>
      <c r="P41" s="36" t="s">
        <v>222</v>
      </c>
      <c r="Q41" s="36" t="s">
        <v>232</v>
      </c>
      <c r="R41" s="39" t="str">
        <f aca="false">VLOOKUP(J41,['file:///Users/user/Downloads/10. MUSI BOSA CORTE 31 DE DICIEMBRE 2016_INSUMO CONTRALORIA.xls']Hoja1!$D$81:$G$158,4,0)</f>
        <v>9. SALUD</v>
      </c>
      <c r="S41" s="39" t="str">
        <f aca="false">VLOOKUP(J41,['file:///Users/user/Downloads/10. MUSI BOSA CORTE 31 DE DICIEMBRE 2016_INSUMO CONTRALORIA.xls']Hoja1!$D$81:$G$158,3,0)</f>
        <v>Inspección, vigilancia y control(IVC) del sistema de salud</v>
      </c>
      <c r="T41" s="35" t="s">
        <v>52</v>
      </c>
      <c r="U41" s="41" t="n">
        <v>1</v>
      </c>
      <c r="V41" s="42" t="n">
        <f aca="false">AJ41/O41</f>
        <v>9.6</v>
      </c>
      <c r="W41" s="42" t="n">
        <f aca="false">U41*V41</f>
        <v>9.6</v>
      </c>
      <c r="X41" s="42" t="n">
        <f aca="false">AO41/O41</f>
        <v>4</v>
      </c>
      <c r="Y41" s="42" t="n">
        <f aca="false">X41*U41</f>
        <v>4</v>
      </c>
      <c r="Z41" s="38" t="n">
        <v>0</v>
      </c>
      <c r="AA41" s="40" t="n">
        <v>5000</v>
      </c>
      <c r="AB41" s="40" t="n">
        <v>5000</v>
      </c>
      <c r="AC41" s="40" t="n">
        <v>5000</v>
      </c>
      <c r="AD41" s="40" t="n">
        <v>5000</v>
      </c>
      <c r="AE41" s="40" t="n">
        <f aca="false">SI(T41="Constante";PROMEDIO(AA41;AB41;AC41;AD41);SI(T41="Suma";SUMA(AA41;AB41;AC41;AD41);0))</f>
        <v>20000</v>
      </c>
      <c r="AF41" s="40" t="n">
        <v>80000</v>
      </c>
      <c r="AG41" s="40" t="n">
        <v>0</v>
      </c>
      <c r="AH41" s="43" t="n">
        <v>0</v>
      </c>
      <c r="AI41" s="44" t="n">
        <v>112000</v>
      </c>
      <c r="AJ41" s="40" t="n">
        <f aca="false">SI(T41="Constante";PROMEDIO(AF41;AG41;AH41;AI41);SI(T41="Suma";SUMA(AF41;AG41;AH41;AI41);0))</f>
        <v>192000</v>
      </c>
      <c r="AK41" s="40" t="n">
        <v>80000</v>
      </c>
      <c r="AL41" s="43" t="n">
        <v>0</v>
      </c>
      <c r="AM41" s="45" t="n">
        <v>0</v>
      </c>
      <c r="AN41" s="45" t="n">
        <v>0</v>
      </c>
      <c r="AO41" s="40" t="n">
        <f aca="false">SI(T41="Constante";PROMEDIO(AK41;AL41;AM41;AN41);SI(T41="Suma";SUMA(AK41;AL41;AM41;AN41);0))</f>
        <v>80000</v>
      </c>
      <c r="AP41" s="46" t="n">
        <f aca="false">145000000+12000000</f>
        <v>157000000</v>
      </c>
      <c r="AQ41" s="46" t="n">
        <v>0</v>
      </c>
      <c r="AR41" s="46" t="n">
        <v>0</v>
      </c>
      <c r="AS41" s="47" t="n">
        <v>274693000</v>
      </c>
      <c r="AT41" s="46" t="n">
        <f aca="false">SUMA(AP41:AS41)</f>
        <v>431693000</v>
      </c>
      <c r="AU41" s="46" t="n">
        <v>0</v>
      </c>
      <c r="AV41" s="46" t="n">
        <v>0</v>
      </c>
      <c r="AW41" s="46" t="n">
        <v>0</v>
      </c>
      <c r="AX41" s="47" t="n">
        <v>0</v>
      </c>
      <c r="AY41" s="48" t="n">
        <f aca="false">SUMA(AU41:AX41)</f>
        <v>0</v>
      </c>
      <c r="AZ41" s="49"/>
      <c r="BA41" s="49"/>
      <c r="BB41" s="49" t="s">
        <v>65</v>
      </c>
      <c r="BC41" s="51" t="s">
        <v>233</v>
      </c>
    </row>
    <row collapsed="false" customFormat="true" customHeight="true" hidden="false" ht="37.5" outlineLevel="0" r="42" s="52">
      <c r="A42" s="34" t="n">
        <f aca="false">VLOOKUP(B42,['file:///Users/user/Downloads/10. MUSI BOSA CORTE 31 DE DICIEMBRE 2016_INSUMO CONTRALORIA.xls']Hoja2!$B$47:$C$66,2,0)</f>
        <v>7</v>
      </c>
      <c r="B42" s="35" t="s">
        <v>43</v>
      </c>
      <c r="C42" s="34" t="n">
        <f aca="false">VLOOKUP(D42,['file:///Users/user/Downloads/10. MUSI BOSA CORTE 31 DE DICIEMBRE 2016_INSUMO CONTRALORIA.xls']Hoja2!$B$8:$C$10,2,0)</f>
        <v>2</v>
      </c>
      <c r="D42" s="36" t="s">
        <v>209</v>
      </c>
      <c r="E42" s="34" t="n">
        <f aca="false">VLOOKUP(F42,['file:///Users/user/Downloads/10. MUSI BOSA CORTE 31 DE DICIEMBRE 2016_INSUMO CONTRALORIA.xls']Hoja2!$B$12:$C$40,2,0)</f>
        <v>19</v>
      </c>
      <c r="F42" s="36" t="s">
        <v>234</v>
      </c>
      <c r="G42" s="37" t="n">
        <v>363</v>
      </c>
      <c r="H42" s="36" t="s">
        <v>235</v>
      </c>
      <c r="I42" s="38" t="n">
        <f aca="false">VLOOKUP(J42,['file:///Users/user/Downloads/10. MUSI BOSA CORTE 31 DE DICIEMBRE 2016_INSUMO CONTRALORIA.xls']Hoja1!$D$81:$G$158,2,0)</f>
        <v>46</v>
      </c>
      <c r="J42" s="39" t="s">
        <v>236</v>
      </c>
      <c r="K42" s="38" t="n">
        <v>843</v>
      </c>
      <c r="L42" s="39" t="s">
        <v>237</v>
      </c>
      <c r="M42" s="38" t="n">
        <v>1</v>
      </c>
      <c r="N42" s="39" t="s">
        <v>238</v>
      </c>
      <c r="O42" s="40" t="n">
        <v>46</v>
      </c>
      <c r="P42" s="36" t="s">
        <v>239</v>
      </c>
      <c r="Q42" s="36" t="s">
        <v>240</v>
      </c>
      <c r="R42" s="39" t="str">
        <f aca="false">VLOOKUP(J42,['file:///Users/user/Downloads/10. MUSI BOSA CORTE 31 DE DICIEMBRE 2016_INSUMO CONTRALORIA.xls']Hoja1!$D$81:$G$158,4,0)</f>
        <v>8. MOVILIDAD</v>
      </c>
      <c r="S42" s="39" t="str">
        <f aca="false">VLOOKUP(J42,['file:///Users/user/Downloads/10. MUSI BOSA CORTE 31 DE DICIEMBRE 2016_INSUMO CONTRALORIA.xls']Hoja1!$D$81:$G$158,3,0)</f>
        <v>Vías Locales</v>
      </c>
      <c r="T42" s="35" t="s">
        <v>52</v>
      </c>
      <c r="U42" s="41" t="n">
        <v>1</v>
      </c>
      <c r="V42" s="42" t="n">
        <f aca="false">AJ42/O42</f>
        <v>1.42381623913044</v>
      </c>
      <c r="W42" s="42" t="n">
        <f aca="false">U42*V42</f>
        <v>1.42381623913044</v>
      </c>
      <c r="X42" s="42" t="n">
        <f aca="false">AO42/O42</f>
        <v>1.04521739130435</v>
      </c>
      <c r="Y42" s="42" t="n">
        <f aca="false">X42*U42</f>
        <v>1.04521739130435</v>
      </c>
      <c r="Z42" s="38" t="n">
        <v>25</v>
      </c>
      <c r="AA42" s="87" t="s">
        <v>241</v>
      </c>
      <c r="AB42" s="87" t="s">
        <v>241</v>
      </c>
      <c r="AC42" s="87" t="s">
        <v>241</v>
      </c>
      <c r="AD42" s="87" t="s">
        <v>241</v>
      </c>
      <c r="AE42" s="40" t="n">
        <f aca="false">SI(T42="Constante";PROMEDIO(AA42;AB42;AC42;AD42);SI(T42="Suma";SUMA(AA42;AB42;AC42;AD42);0))</f>
        <v>0</v>
      </c>
      <c r="AF42" s="88" t="n">
        <f aca="false">12+1.09</f>
        <v>13.09</v>
      </c>
      <c r="AG42" s="88" t="n">
        <f aca="false">19.43+2.3</f>
        <v>21.73</v>
      </c>
      <c r="AH42" s="89" t="n">
        <v>13.5</v>
      </c>
      <c r="AI42" s="90" t="n">
        <v>17.175547</v>
      </c>
      <c r="AJ42" s="91" t="n">
        <f aca="false">SI(T42="Constante";PROMEDIO(AF42;AG42;AH42;AI42);SI(T42="Suma";SUMA(AF42;AG42;AH42;AI42);0))</f>
        <v>65.495547</v>
      </c>
      <c r="AK42" s="88" t="n">
        <v>19.48</v>
      </c>
      <c r="AL42" s="92" t="n">
        <f aca="false">15.1</f>
        <v>15.1</v>
      </c>
      <c r="AM42" s="93" t="n">
        <v>13.5</v>
      </c>
      <c r="AN42" s="45" t="n">
        <v>0</v>
      </c>
      <c r="AO42" s="40" t="n">
        <f aca="false">SI(T42="Constante";PROMEDIO(AK42;AL42;AM42;AN42);SI(T42="Suma";SUMA(AK42;AL42;AM42;AN42);0))</f>
        <v>48.08</v>
      </c>
      <c r="AP42" s="46" t="n">
        <v>19904729352</v>
      </c>
      <c r="AQ42" s="46" t="n">
        <v>24228862803</v>
      </c>
      <c r="AR42" s="46" t="n">
        <v>20380358352</v>
      </c>
      <c r="AS42" s="47" t="n">
        <f aca="false">18683889019+1868344720+3533987842.5</f>
        <v>24086221581.5</v>
      </c>
      <c r="AT42" s="46" t="n">
        <f aca="false">SUMA(AP42:AS42)</f>
        <v>88600172088.5</v>
      </c>
      <c r="AU42" s="94" t="n">
        <v>4726547954</v>
      </c>
      <c r="AV42" s="46" t="n">
        <v>11536569384</v>
      </c>
      <c r="AW42" s="46" t="n">
        <v>10577770567</v>
      </c>
      <c r="AX42" s="47" t="n">
        <f aca="false">3736777804+641991496.27873</f>
        <v>4378769300.27873</v>
      </c>
      <c r="AY42" s="48" t="n">
        <f aca="false">SUMA(AU42:AX42)</f>
        <v>31219657205.2787</v>
      </c>
      <c r="AZ42" s="49"/>
      <c r="BA42" s="49"/>
      <c r="BB42" s="49" t="s">
        <v>242</v>
      </c>
      <c r="BC42" s="51" t="s">
        <v>243</v>
      </c>
      <c r="BE42" s="52" t="n">
        <v>950000000</v>
      </c>
    </row>
    <row collapsed="false" customFormat="true" customHeight="true" hidden="false" ht="37.5" outlineLevel="0" r="43" s="52">
      <c r="A43" s="34" t="n">
        <f aca="false">VLOOKUP(B43,['file:///Users/user/Downloads/10. MUSI BOSA CORTE 31 DE DICIEMBRE 2016_INSUMO CONTRALORIA.xls']Hoja2!$B$47:$C$66,2,0)</f>
        <v>7</v>
      </c>
      <c r="B43" s="35" t="s">
        <v>43</v>
      </c>
      <c r="C43" s="34" t="n">
        <f aca="false">VLOOKUP(D43,['file:///Users/user/Downloads/10. MUSI BOSA CORTE 31 DE DICIEMBRE 2016_INSUMO CONTRALORIA.xls']Hoja2!$B$8:$C$10,2,0)</f>
        <v>2</v>
      </c>
      <c r="D43" s="36" t="s">
        <v>209</v>
      </c>
      <c r="E43" s="34" t="n">
        <f aca="false">VLOOKUP(F43,['file:///Users/user/Downloads/10. MUSI BOSA CORTE 31 DE DICIEMBRE 2016_INSUMO CONTRALORIA.xls']Hoja2!$B$12:$C$40,2,0)</f>
        <v>19</v>
      </c>
      <c r="F43" s="36" t="s">
        <v>234</v>
      </c>
      <c r="G43" s="37" t="n">
        <v>364</v>
      </c>
      <c r="H43" s="36" t="s">
        <v>244</v>
      </c>
      <c r="I43" s="38" t="n">
        <f aca="false">VLOOKUP(J43,['file:///Users/user/Downloads/10. MUSI BOSA CORTE 31 DE DICIEMBRE 2016_INSUMO CONTRALORIA.xls']Hoja1!$D$81:$G$158,2,0)</f>
        <v>50</v>
      </c>
      <c r="J43" s="39" t="s">
        <v>245</v>
      </c>
      <c r="K43" s="38" t="n">
        <v>843</v>
      </c>
      <c r="L43" s="39" t="s">
        <v>246</v>
      </c>
      <c r="M43" s="38" t="n">
        <v>2</v>
      </c>
      <c r="N43" s="39" t="s">
        <v>247</v>
      </c>
      <c r="O43" s="40" t="n">
        <v>8400</v>
      </c>
      <c r="P43" s="36" t="s">
        <v>222</v>
      </c>
      <c r="Q43" s="36" t="s">
        <v>248</v>
      </c>
      <c r="R43" s="39" t="str">
        <f aca="false">VLOOKUP(J43,['file:///Users/user/Downloads/10. MUSI BOSA CORTE 31 DE DICIEMBRE 2016_INSUMO CONTRALORIA.xls']Hoja1!$D$81:$G$158,4,0)</f>
        <v>8. MOVILIDAD</v>
      </c>
      <c r="S43" s="39" t="str">
        <f aca="false">VLOOKUP(J43,['file:///Users/user/Downloads/10. MUSI BOSA CORTE 31 DE DICIEMBRE 2016_INSUMO CONTRALORIA.xls']Hoja1!$D$81:$G$158,3,0)</f>
        <v>Espacio Publico</v>
      </c>
      <c r="T43" s="35" t="s">
        <v>52</v>
      </c>
      <c r="U43" s="41" t="n">
        <v>1</v>
      </c>
      <c r="V43" s="42" t="n">
        <f aca="false">AJ43/O43</f>
        <v>1.1195630952381</v>
      </c>
      <c r="W43" s="42" t="n">
        <f aca="false">U43*V43</f>
        <v>1.1195630952381</v>
      </c>
      <c r="X43" s="42" t="n">
        <f aca="false">AO43/O43</f>
        <v>0</v>
      </c>
      <c r="Y43" s="42" t="n">
        <f aca="false">X43*U43</f>
        <v>0</v>
      </c>
      <c r="Z43" s="38" t="n">
        <v>0</v>
      </c>
      <c r="AA43" s="40" t="n">
        <v>2100</v>
      </c>
      <c r="AB43" s="40" t="n">
        <v>2100</v>
      </c>
      <c r="AC43" s="40" t="n">
        <v>2100</v>
      </c>
      <c r="AD43" s="40" t="n">
        <v>2100</v>
      </c>
      <c r="AE43" s="40" t="n">
        <f aca="false">SI(T43="Constante";PROMEDIO(AA43;AB43;AC43;AD43);SI(T43="Suma";SUMA(AA43;AB43;AC43;AD43);0))</f>
        <v>8400</v>
      </c>
      <c r="AF43" s="40" t="n">
        <v>0</v>
      </c>
      <c r="AG43" s="40" t="n">
        <v>0</v>
      </c>
      <c r="AH43" s="43" t="n">
        <v>2800</v>
      </c>
      <c r="AI43" s="95" t="n">
        <v>6604.33</v>
      </c>
      <c r="AJ43" s="40" t="n">
        <f aca="false">SI(T43="Constante";PROMEDIO(AF43;AG43;AH43;AI43);SI(T43="Suma";SUMA(AF43;AG43;AH43;AI43);0))</f>
        <v>9404.33</v>
      </c>
      <c r="AK43" s="40" t="n">
        <v>0</v>
      </c>
      <c r="AL43" s="43" t="n">
        <v>0</v>
      </c>
      <c r="AM43" s="45" t="n">
        <v>0</v>
      </c>
      <c r="AN43" s="45" t="n">
        <v>0</v>
      </c>
      <c r="AO43" s="40" t="n">
        <f aca="false">SI(T43="Constante";PROMEDIO(AK43;AL43;AM43;AN43);SI(T43="Suma";SUMA(AK43;AL43;AM43;AN43);0))</f>
        <v>0</v>
      </c>
      <c r="AP43" s="46" t="n">
        <v>50000000</v>
      </c>
      <c r="AQ43" s="46" t="n">
        <v>89177197</v>
      </c>
      <c r="AR43" s="46" t="n">
        <v>1500000000</v>
      </c>
      <c r="AS43" s="47" t="n">
        <v>2755865256</v>
      </c>
      <c r="AT43" s="46" t="n">
        <f aca="false">SUMA(AP43:AS43)</f>
        <v>4395042453</v>
      </c>
      <c r="AU43" s="46" t="n">
        <v>0</v>
      </c>
      <c r="AV43" s="46" t="n">
        <v>0</v>
      </c>
      <c r="AW43" s="46" t="n">
        <v>0</v>
      </c>
      <c r="AX43" s="47" t="n">
        <v>500636147.630439</v>
      </c>
      <c r="AY43" s="48" t="n">
        <f aca="false">SUMA(AU43:AX43)</f>
        <v>500636147.630439</v>
      </c>
      <c r="AZ43" s="49"/>
      <c r="BA43" s="49"/>
      <c r="BB43" s="49" t="s">
        <v>242</v>
      </c>
      <c r="BC43" s="51" t="s">
        <v>249</v>
      </c>
      <c r="BE43" s="52" t="n">
        <v>200000000</v>
      </c>
    </row>
    <row collapsed="false" customFormat="true" customHeight="true" hidden="false" ht="37.5" outlineLevel="0" r="44" s="52">
      <c r="A44" s="34" t="n">
        <f aca="false">VLOOKUP(B44,['file:///Users/user/Downloads/10. MUSI BOSA CORTE 31 DE DICIEMBRE 2016_INSUMO CONTRALORIA.xls']Hoja2!$B$47:$C$66,2,0)</f>
        <v>7</v>
      </c>
      <c r="B44" s="35" t="s">
        <v>43</v>
      </c>
      <c r="C44" s="34" t="n">
        <f aca="false">VLOOKUP(D44,['file:///Users/user/Downloads/10. MUSI BOSA CORTE 31 DE DICIEMBRE 2016_INSUMO CONTRALORIA.xls']Hoja2!$B$8:$C$10,2,0)</f>
        <v>2</v>
      </c>
      <c r="D44" s="36" t="s">
        <v>209</v>
      </c>
      <c r="E44" s="34" t="n">
        <f aca="false">VLOOKUP(F44,['file:///Users/user/Downloads/10. MUSI BOSA CORTE 31 DE DICIEMBRE 2016_INSUMO CONTRALORIA.xls']Hoja2!$B$12:$C$40,2,0)</f>
        <v>20</v>
      </c>
      <c r="F44" s="36" t="s">
        <v>250</v>
      </c>
      <c r="G44" s="37" t="n">
        <v>365</v>
      </c>
      <c r="H44" s="36" t="s">
        <v>251</v>
      </c>
      <c r="I44" s="38" t="n">
        <f aca="false">VLOOKUP(J44,['file:///Users/user/Downloads/10. MUSI BOSA CORTE 31 DE DICIEMBRE 2016_INSUMO CONTRALORIA.xls']Hoja1!$D$81:$G$158,2,0)</f>
        <v>55</v>
      </c>
      <c r="J44" s="39" t="s">
        <v>252</v>
      </c>
      <c r="K44" s="38" t="n">
        <v>844</v>
      </c>
      <c r="L44" s="39" t="s">
        <v>253</v>
      </c>
      <c r="M44" s="38" t="n">
        <v>2</v>
      </c>
      <c r="N44" s="39" t="s">
        <v>254</v>
      </c>
      <c r="O44" s="40" t="n">
        <v>15000</v>
      </c>
      <c r="P44" s="36" t="s">
        <v>255</v>
      </c>
      <c r="Q44" s="36" t="s">
        <v>256</v>
      </c>
      <c r="R44" s="39" t="str">
        <f aca="false">VLOOKUP(J44,['file:///Users/user/Downloads/10. MUSI BOSA CORTE 31 DE DICIEMBRE 2016_INSUMO CONTRALORIA.xls']Hoja1!$D$81:$G$158,4,0)</f>
        <v>5. GOBIERNO </v>
      </c>
      <c r="S44" s="39" t="str">
        <f aca="false">VLOOKUP(J44,['file:///Users/user/Downloads/10. MUSI BOSA CORTE 31 DE DICIEMBRE 2016_INSUMO CONTRALORIA.xls']Hoja1!$D$81:$G$158,3,0)</f>
        <v>Gestión para la prevención y mitigación del riesgo</v>
      </c>
      <c r="T44" s="35" t="s">
        <v>85</v>
      </c>
      <c r="U44" s="41" t="n">
        <v>1</v>
      </c>
      <c r="V44" s="42" t="n">
        <f aca="false">AJ44/O44</f>
        <v>1</v>
      </c>
      <c r="W44" s="42" t="n">
        <f aca="false">U44*V44</f>
        <v>1</v>
      </c>
      <c r="X44" s="42" t="n">
        <f aca="false">AO44/O44</f>
        <v>0.75</v>
      </c>
      <c r="Y44" s="42" t="n">
        <f aca="false">X44*U44</f>
        <v>0.75</v>
      </c>
      <c r="Z44" s="38" t="n">
        <v>0</v>
      </c>
      <c r="AA44" s="40" t="n">
        <v>15000</v>
      </c>
      <c r="AB44" s="40" t="n">
        <v>15000</v>
      </c>
      <c r="AC44" s="40" t="n">
        <v>15000</v>
      </c>
      <c r="AD44" s="40" t="n">
        <v>15000</v>
      </c>
      <c r="AE44" s="40" t="n">
        <f aca="false">SI(T44="Constante";PROMEDIO(AA44;AB44;AC44;AD44);SI(T44="Suma";SUMA(AA44;AB44;AC44;AD44);0))</f>
        <v>15000</v>
      </c>
      <c r="AF44" s="40" t="n">
        <v>15000</v>
      </c>
      <c r="AG44" s="40" t="n">
        <v>15000</v>
      </c>
      <c r="AH44" s="43" t="n">
        <v>15000</v>
      </c>
      <c r="AI44" s="44" t="n">
        <v>15000</v>
      </c>
      <c r="AJ44" s="40" t="n">
        <f aca="false">SI(T44="Constante";PROMEDIO(AF44;AG44;AH44;AI44);SI(T44="Suma";SUMA(AF44;AG44;AH44;AI44);0))</f>
        <v>15000</v>
      </c>
      <c r="AK44" s="40" t="n">
        <v>15000</v>
      </c>
      <c r="AL44" s="43" t="n">
        <f aca="false">14000+1000</f>
        <v>15000</v>
      </c>
      <c r="AM44" s="45" t="n">
        <f aca="false">2000+13000</f>
        <v>15000</v>
      </c>
      <c r="AN44" s="45" t="n">
        <v>0</v>
      </c>
      <c r="AO44" s="40" t="n">
        <f aca="false">SI(T44="Constante";PROMEDIO(AK44;AL44;AM44;AN44);SI(T44="Suma";SUMA(AK44;AL44;AM44;AN44);0))</f>
        <v>11250</v>
      </c>
      <c r="AP44" s="46" t="n">
        <v>400000000</v>
      </c>
      <c r="AQ44" s="46" t="n">
        <v>527948000</v>
      </c>
      <c r="AR44" s="46" t="n">
        <v>346777635</v>
      </c>
      <c r="AS44" s="47" t="n">
        <v>525249598.256959</v>
      </c>
      <c r="AT44" s="46" t="n">
        <f aca="false">SUMA(AP44:AS44)</f>
        <v>1799975233.25696</v>
      </c>
      <c r="AU44" s="46" t="n">
        <v>0</v>
      </c>
      <c r="AV44" s="46" t="n">
        <v>0</v>
      </c>
      <c r="AW44" s="46" t="n">
        <v>6171429</v>
      </c>
      <c r="AX44" s="47" t="n">
        <v>0</v>
      </c>
      <c r="AY44" s="48" t="n">
        <f aca="false">SUMA(AU44:AX44)</f>
        <v>6171429</v>
      </c>
      <c r="AZ44" s="49"/>
      <c r="BA44" s="49"/>
      <c r="BB44" s="49" t="s">
        <v>257</v>
      </c>
      <c r="BC44" s="51"/>
      <c r="BE44" s="52" t="n">
        <v>347000000</v>
      </c>
    </row>
    <row collapsed="false" customFormat="true" customHeight="true" hidden="false" ht="37.5" outlineLevel="0" r="45" s="52">
      <c r="A45" s="34" t="n">
        <f aca="false">VLOOKUP(B45,['file:///Users/user/Downloads/10. MUSI BOSA CORTE 31 DE DICIEMBRE 2016_INSUMO CONTRALORIA.xls']Hoja2!$B$47:$C$66,2,0)</f>
        <v>7</v>
      </c>
      <c r="B45" s="35" t="s">
        <v>43</v>
      </c>
      <c r="C45" s="34" t="n">
        <f aca="false">VLOOKUP(D45,['file:///Users/user/Downloads/10. MUSI BOSA CORTE 31 DE DICIEMBRE 2016_INSUMO CONTRALORIA.xls']Hoja2!$B$8:$C$10,2,0)</f>
        <v>2</v>
      </c>
      <c r="D45" s="36" t="s">
        <v>209</v>
      </c>
      <c r="E45" s="34" t="n">
        <f aca="false">VLOOKUP(F45,['file:///Users/user/Downloads/10. MUSI BOSA CORTE 31 DE DICIEMBRE 2016_INSUMO CONTRALORIA.xls']Hoja2!$B$12:$C$40,2,0)</f>
        <v>20</v>
      </c>
      <c r="F45" s="36" t="s">
        <v>250</v>
      </c>
      <c r="G45" s="37" t="n">
        <v>366</v>
      </c>
      <c r="H45" s="36" t="s">
        <v>258</v>
      </c>
      <c r="I45" s="38" t="n">
        <f aca="false">VLOOKUP(J45,['file:///Users/user/Downloads/10. MUSI BOSA CORTE 31 DE DICIEMBRE 2016_INSUMO CONTRALORIA.xls']Hoja1!$D$81:$G$158,2,0)</f>
        <v>56</v>
      </c>
      <c r="J45" s="39" t="s">
        <v>259</v>
      </c>
      <c r="K45" s="38" t="n">
        <v>844</v>
      </c>
      <c r="L45" s="39" t="s">
        <v>253</v>
      </c>
      <c r="M45" s="38" t="n">
        <v>1</v>
      </c>
      <c r="N45" s="39" t="s">
        <v>260</v>
      </c>
      <c r="O45" s="40" t="n">
        <v>1</v>
      </c>
      <c r="P45" s="36" t="s">
        <v>261</v>
      </c>
      <c r="Q45" s="36" t="s">
        <v>262</v>
      </c>
      <c r="R45" s="39" t="str">
        <f aca="false">VLOOKUP(J45,['file:///Users/user/Downloads/10. MUSI BOSA CORTE 31 DE DICIEMBRE 2016_INSUMO CONTRALORIA.xls']Hoja1!$D$81:$G$158,4,0)</f>
        <v>5. GOBIERNO </v>
      </c>
      <c r="S45" s="39" t="str">
        <f aca="false">VLOOKUP(J45,['file:///Users/user/Downloads/10. MUSI BOSA CORTE 31 DE DICIEMBRE 2016_INSUMO CONTRALORIA.xls']Hoja1!$D$81:$G$158,3,0)</f>
        <v>Gestión para la prevención y mitigación del riesgo</v>
      </c>
      <c r="T45" s="35" t="s">
        <v>85</v>
      </c>
      <c r="U45" s="41" t="n">
        <v>1</v>
      </c>
      <c r="V45" s="42" t="n">
        <f aca="false">AJ45/O45</f>
        <v>1</v>
      </c>
      <c r="W45" s="42" t="n">
        <f aca="false">U45*V45</f>
        <v>1</v>
      </c>
      <c r="X45" s="42" t="n">
        <f aca="false">AO45/O45</f>
        <v>0.75</v>
      </c>
      <c r="Y45" s="42" t="n">
        <f aca="false">X45*U45</f>
        <v>0.75</v>
      </c>
      <c r="Z45" s="38" t="n">
        <v>1</v>
      </c>
      <c r="AA45" s="40" t="n">
        <v>1</v>
      </c>
      <c r="AB45" s="40" t="n">
        <v>1</v>
      </c>
      <c r="AC45" s="40" t="n">
        <v>1</v>
      </c>
      <c r="AD45" s="40" t="n">
        <v>1</v>
      </c>
      <c r="AE45" s="40" t="n">
        <f aca="false">SI(T45="Constante";PROMEDIO(AA45;AB45;AC45;AD45);SI(T45="Suma";SUMA(AA45;AB45;AC45;AD45);0))</f>
        <v>1</v>
      </c>
      <c r="AF45" s="40" t="n">
        <v>1</v>
      </c>
      <c r="AG45" s="40" t="n">
        <v>1</v>
      </c>
      <c r="AH45" s="43" t="n">
        <v>1</v>
      </c>
      <c r="AI45" s="44" t="n">
        <v>1</v>
      </c>
      <c r="AJ45" s="40" t="n">
        <f aca="false">SI(T45="Constante";PROMEDIO(AF45;AG45;AH45;AI45);SI(T45="Suma";SUMA(AF45;AG45;AH45;AI45);0))</f>
        <v>1</v>
      </c>
      <c r="AK45" s="40" t="n">
        <v>1</v>
      </c>
      <c r="AL45" s="43" t="n">
        <v>1</v>
      </c>
      <c r="AM45" s="45" t="n">
        <v>1</v>
      </c>
      <c r="AN45" s="45" t="n">
        <v>0</v>
      </c>
      <c r="AO45" s="88" t="n">
        <f aca="false">SI(T45="Constante";PROMEDIO(AK45;AL45;AM45;AN45);SI(T45="Suma";SUMA(AK45;AL45;AM45;AN45);0))</f>
        <v>0.75</v>
      </c>
      <c r="AP45" s="46" t="n">
        <v>299996849</v>
      </c>
      <c r="AQ45" s="46" t="n">
        <v>299898200</v>
      </c>
      <c r="AR45" s="46" t="n">
        <v>199981000</v>
      </c>
      <c r="AS45" s="47" t="n">
        <v>98380108.6569624</v>
      </c>
      <c r="AT45" s="46" t="n">
        <f aca="false">SUMA(AP45:AS45)</f>
        <v>898256157.656962</v>
      </c>
      <c r="AU45" s="46" t="n">
        <v>299996849</v>
      </c>
      <c r="AV45" s="46" t="n">
        <v>0</v>
      </c>
      <c r="AW45" s="46" t="n">
        <v>0</v>
      </c>
      <c r="AX45" s="47" t="n">
        <v>0</v>
      </c>
      <c r="AY45" s="48" t="n">
        <f aca="false">SUMA(AU45:AX45)</f>
        <v>299996849</v>
      </c>
      <c r="AZ45" s="49"/>
      <c r="BA45" s="49"/>
      <c r="BB45" s="49" t="s">
        <v>257</v>
      </c>
      <c r="BC45" s="51"/>
      <c r="BE45" s="52" t="n">
        <f aca="false">+BE42-BE43-BE44</f>
        <v>403000000</v>
      </c>
    </row>
    <row collapsed="false" customFormat="true" customHeight="true" hidden="false" ht="37.5" outlineLevel="0" r="46" s="52">
      <c r="A46" s="34" t="n">
        <f aca="false">VLOOKUP(B46,['file:///Users/user/Downloads/10. MUSI BOSA CORTE 31 DE DICIEMBRE 2016_INSUMO CONTRALORIA.xls']Hoja2!$B$47:$C$66,2,0)</f>
        <v>7</v>
      </c>
      <c r="B46" s="35" t="s">
        <v>43</v>
      </c>
      <c r="C46" s="34" t="n">
        <f aca="false">VLOOKUP(D46,['file:///Users/user/Downloads/10. MUSI BOSA CORTE 31 DE DICIEMBRE 2016_INSUMO CONTRALORIA.xls']Hoja2!$B$8:$C$10,2,0)</f>
        <v>2</v>
      </c>
      <c r="D46" s="36" t="s">
        <v>209</v>
      </c>
      <c r="E46" s="34" t="n">
        <f aca="false">VLOOKUP(F46,['file:///Users/user/Downloads/10. MUSI BOSA CORTE 31 DE DICIEMBRE 2016_INSUMO CONTRALORIA.xls']Hoja2!$B$12:$C$40,2,0)</f>
        <v>20</v>
      </c>
      <c r="F46" s="36" t="s">
        <v>250</v>
      </c>
      <c r="G46" s="37" t="n">
        <v>367</v>
      </c>
      <c r="H46" s="36" t="s">
        <v>263</v>
      </c>
      <c r="I46" s="38" t="n">
        <f aca="false">VLOOKUP(J46,['file:///Users/user/Downloads/10. MUSI BOSA CORTE 31 DE DICIEMBRE 2016_INSUMO CONTRALORIA.xls']Hoja1!$D$81:$G$158,2,0)</f>
        <v>54</v>
      </c>
      <c r="J46" s="39" t="s">
        <v>264</v>
      </c>
      <c r="K46" s="38" t="n">
        <v>844</v>
      </c>
      <c r="L46" s="39" t="s">
        <v>253</v>
      </c>
      <c r="M46" s="38" t="n">
        <v>3</v>
      </c>
      <c r="N46" s="39" t="s">
        <v>143</v>
      </c>
      <c r="O46" s="40" t="n">
        <v>100</v>
      </c>
      <c r="P46" s="36" t="s">
        <v>265</v>
      </c>
      <c r="Q46" s="36" t="s">
        <v>266</v>
      </c>
      <c r="R46" s="39" t="str">
        <f aca="false">VLOOKUP(J46,['file:///Users/user/Downloads/10. MUSI BOSA CORTE 31 DE DICIEMBRE 2016_INSUMO CONTRALORIA.xls']Hoja1!$D$81:$G$158,4,0)</f>
        <v>5. GOBIERNO </v>
      </c>
      <c r="S46" s="39" t="str">
        <f aca="false">VLOOKUP(J46,['file:///Users/user/Downloads/10. MUSI BOSA CORTE 31 DE DICIEMBRE 2016_INSUMO CONTRALORIA.xls']Hoja1!$D$81:$G$158,3,0)</f>
        <v>Gestión para la prevención y mitigación del riesgo</v>
      </c>
      <c r="T46" s="35" t="s">
        <v>85</v>
      </c>
      <c r="U46" s="41" t="n">
        <v>1</v>
      </c>
      <c r="V46" s="42" t="n">
        <f aca="false">AJ46/O46</f>
        <v>1</v>
      </c>
      <c r="W46" s="42" t="n">
        <f aca="false">U46*V46</f>
        <v>1</v>
      </c>
      <c r="X46" s="42" t="n">
        <f aca="false">AO46/O46</f>
        <v>0.75</v>
      </c>
      <c r="Y46" s="42" t="n">
        <f aca="false">X46*U46</f>
        <v>0.75</v>
      </c>
      <c r="Z46" s="38" t="n">
        <v>0</v>
      </c>
      <c r="AA46" s="40" t="n">
        <v>100</v>
      </c>
      <c r="AB46" s="40" t="n">
        <v>100</v>
      </c>
      <c r="AC46" s="40" t="n">
        <v>100</v>
      </c>
      <c r="AD46" s="40" t="n">
        <v>100</v>
      </c>
      <c r="AE46" s="40" t="n">
        <f aca="false">SI(T46="Constante";PROMEDIO(AA46;AB46;AC46;AD46);SI(T46="Suma";SUMA(AA46;AB46;AC46;AD46);0))</f>
        <v>100</v>
      </c>
      <c r="AF46" s="40" t="n">
        <v>100</v>
      </c>
      <c r="AG46" s="40" t="n">
        <v>100</v>
      </c>
      <c r="AH46" s="43" t="n">
        <v>100</v>
      </c>
      <c r="AI46" s="44" t="n">
        <v>100</v>
      </c>
      <c r="AJ46" s="40" t="n">
        <f aca="false">SI(T46="Constante";PROMEDIO(AF46;AG46;AH46;AI46);SI(T46="Suma";SUMA(AF46;AG46;AH46;AI46);0))</f>
        <v>100</v>
      </c>
      <c r="AK46" s="40" t="n">
        <v>100</v>
      </c>
      <c r="AL46" s="43" t="n">
        <v>100</v>
      </c>
      <c r="AM46" s="45" t="n">
        <v>100</v>
      </c>
      <c r="AN46" s="45" t="n">
        <v>0</v>
      </c>
      <c r="AO46" s="40" t="n">
        <f aca="false">SI(T46="Constante";PROMEDIO(AK46;AL46;AM46;AN46);SI(T46="Suma";SUMA(AK46;AL46;AM46;AN46);0))</f>
        <v>75</v>
      </c>
      <c r="AP46" s="46" t="n">
        <v>200000000</v>
      </c>
      <c r="AQ46" s="46" t="n">
        <v>672153800</v>
      </c>
      <c r="AR46" s="46" t="n">
        <v>403241365</v>
      </c>
      <c r="AS46" s="47" t="n">
        <v>67588261.0860789</v>
      </c>
      <c r="AT46" s="46" t="n">
        <f aca="false">SUMA(AP46:AS46)</f>
        <v>1342983426.08608</v>
      </c>
      <c r="AU46" s="46" t="n">
        <v>0</v>
      </c>
      <c r="AV46" s="46" t="n">
        <v>0</v>
      </c>
      <c r="AW46" s="46" t="n">
        <v>0</v>
      </c>
      <c r="AX46" s="47" t="n">
        <v>0</v>
      </c>
      <c r="AY46" s="48" t="n">
        <f aca="false">SUMA(AU46:AX46)</f>
        <v>0</v>
      </c>
      <c r="AZ46" s="49"/>
      <c r="BA46" s="49"/>
      <c r="BB46" s="49" t="s">
        <v>217</v>
      </c>
      <c r="BC46" s="51" t="s">
        <v>267</v>
      </c>
    </row>
    <row collapsed="false" customFormat="true" customHeight="true" hidden="false" ht="37.5" outlineLevel="0" r="47" s="52">
      <c r="A47" s="34" t="n">
        <f aca="false">VLOOKUP(B47,['file:///Users/user/Downloads/10. MUSI BOSA CORTE 31 DE DICIEMBRE 2016_INSUMO CONTRALORIA.xls']Hoja2!$B$47:$C$66,2,0)</f>
        <v>7</v>
      </c>
      <c r="B47" s="35" t="s">
        <v>43</v>
      </c>
      <c r="C47" s="34" t="n">
        <f aca="false">VLOOKUP(D47,['file:///Users/user/Downloads/10. MUSI BOSA CORTE 31 DE DICIEMBRE 2016_INSUMO CONTRALORIA.xls']Hoja2!$B$8:$C$10,2,0)</f>
        <v>2</v>
      </c>
      <c r="D47" s="36" t="s">
        <v>209</v>
      </c>
      <c r="E47" s="34" t="n">
        <f aca="false">VLOOKUP(F47,['file:///Users/user/Downloads/10. MUSI BOSA CORTE 31 DE DICIEMBRE 2016_INSUMO CONTRALORIA.xls']Hoja2!$B$12:$C$40,2,0)</f>
        <v>21</v>
      </c>
      <c r="F47" s="36" t="s">
        <v>268</v>
      </c>
      <c r="G47" s="37" t="n">
        <v>368</v>
      </c>
      <c r="H47" s="36" t="s">
        <v>269</v>
      </c>
      <c r="I47" s="38" t="n">
        <f aca="false">VLOOKUP(J47,['file:///Users/user/Downloads/10. MUSI BOSA CORTE 31 DE DICIEMBRE 2016_INSUMO CONTRALORIA.xls']Hoja1!$D$81:$G$158,2,0)</f>
        <v>57</v>
      </c>
      <c r="J47" s="39" t="s">
        <v>270</v>
      </c>
      <c r="K47" s="38" t="n">
        <v>845</v>
      </c>
      <c r="L47" s="39" t="s">
        <v>271</v>
      </c>
      <c r="M47" s="38" t="n">
        <v>1</v>
      </c>
      <c r="N47" s="39" t="s">
        <v>56</v>
      </c>
      <c r="O47" s="40" t="n">
        <v>400</v>
      </c>
      <c r="P47" s="36" t="s">
        <v>63</v>
      </c>
      <c r="Q47" s="36" t="s">
        <v>272</v>
      </c>
      <c r="R47" s="39" t="str">
        <f aca="false">VLOOKUP(J47,['file:///Users/user/Downloads/10. MUSI BOSA CORTE 31 DE DICIEMBRE 2016_INSUMO CONTRALORIA.xls']Hoja1!$D$81:$G$158,4,0)</f>
        <v>1. AMBIENTE</v>
      </c>
      <c r="S47" s="39" t="str">
        <f aca="false">VLOOKUP(J47,['file:///Users/user/Downloads/10. MUSI BOSA CORTE 31 DE DICIEMBRE 2016_INSUMO CONTRALORIA.xls']Hoja1!$D$81:$G$158,3,0)</f>
        <v>Manejo integral de residuos sólidos </v>
      </c>
      <c r="T47" s="35" t="s">
        <v>52</v>
      </c>
      <c r="U47" s="41" t="n">
        <v>1</v>
      </c>
      <c r="V47" s="42" t="n">
        <f aca="false">AJ47/O47</f>
        <v>0.5</v>
      </c>
      <c r="W47" s="42" t="n">
        <f aca="false">U47*V47</f>
        <v>0.5</v>
      </c>
      <c r="X47" s="42" t="n">
        <f aca="false">AO47/O47</f>
        <v>0.5</v>
      </c>
      <c r="Y47" s="42" t="n">
        <f aca="false">X47*U47</f>
        <v>0.5</v>
      </c>
      <c r="Z47" s="38" t="n">
        <v>53</v>
      </c>
      <c r="AA47" s="40" t="n">
        <v>100</v>
      </c>
      <c r="AB47" s="40" t="n">
        <v>100</v>
      </c>
      <c r="AC47" s="40" t="n">
        <v>100</v>
      </c>
      <c r="AD47" s="40" t="n">
        <v>100</v>
      </c>
      <c r="AE47" s="40" t="n">
        <f aca="false">SI(T47="Constante";PROMEDIO(AA47;AB47;AC47;AD47);SI(T47="Suma";SUMA(AA47;AB47;AC47;AD47);0))</f>
        <v>400</v>
      </c>
      <c r="AF47" s="40" t="n">
        <v>100</v>
      </c>
      <c r="AG47" s="40" t="n">
        <v>100</v>
      </c>
      <c r="AH47" s="43" t="n">
        <v>0</v>
      </c>
      <c r="AI47" s="44" t="n">
        <v>0</v>
      </c>
      <c r="AJ47" s="40" t="n">
        <f aca="false">SI(T47="Constante";PROMEDIO(AF47;AG47;AH47;AI47);SI(T47="Suma";SUMA(AF47;AG47;AH47;AI47);0))</f>
        <v>200</v>
      </c>
      <c r="AK47" s="40" t="n">
        <v>100</v>
      </c>
      <c r="AL47" s="43" t="n">
        <v>100</v>
      </c>
      <c r="AM47" s="45" t="n">
        <v>0</v>
      </c>
      <c r="AN47" s="45" t="n">
        <v>0</v>
      </c>
      <c r="AO47" s="40" t="n">
        <f aca="false">SI(T47="Constante";PROMEDIO(AK47;AL47;AM47;AN47);SI(T47="Suma";SUMA(AK47;AL47;AM47;AN47);0))</f>
        <v>200</v>
      </c>
      <c r="AP47" s="46" t="n">
        <f aca="false">40000000+10000000</f>
        <v>50000000</v>
      </c>
      <c r="AQ47" s="46" t="n">
        <v>86042000</v>
      </c>
      <c r="AR47" s="46" t="n">
        <v>0</v>
      </c>
      <c r="AS47" s="47" t="n">
        <v>0</v>
      </c>
      <c r="AT47" s="46" t="n">
        <f aca="false">SUMA(AP47:AS47)</f>
        <v>136042000</v>
      </c>
      <c r="AU47" s="46" t="n">
        <v>19800000</v>
      </c>
      <c r="AV47" s="46" t="n">
        <v>3800000</v>
      </c>
      <c r="AW47" s="46" t="n">
        <v>0</v>
      </c>
      <c r="AX47" s="47" t="n">
        <v>0</v>
      </c>
      <c r="AY47" s="48" t="n">
        <f aca="false">SUMA(AU47:AX47)</f>
        <v>23600000</v>
      </c>
      <c r="AZ47" s="49"/>
      <c r="BA47" s="49"/>
      <c r="BB47" s="49" t="s">
        <v>65</v>
      </c>
      <c r="BC47" s="51" t="s">
        <v>273</v>
      </c>
    </row>
    <row collapsed="false" customFormat="true" customHeight="true" hidden="false" ht="37.5" outlineLevel="0" r="48" s="52">
      <c r="A48" s="34" t="n">
        <f aca="false">VLOOKUP(B48,['file:///Users/user/Downloads/10. MUSI BOSA CORTE 31 DE DICIEMBRE 2016_INSUMO CONTRALORIA.xls']Hoja2!$B$47:$C$66,2,0)</f>
        <v>7</v>
      </c>
      <c r="B48" s="35" t="s">
        <v>43</v>
      </c>
      <c r="C48" s="34" t="n">
        <f aca="false">VLOOKUP(D48,['file:///Users/user/Downloads/10. MUSI BOSA CORTE 31 DE DICIEMBRE 2016_INSUMO CONTRALORIA.xls']Hoja2!$B$8:$C$10,2,0)</f>
        <v>2</v>
      </c>
      <c r="D48" s="36" t="s">
        <v>209</v>
      </c>
      <c r="E48" s="34" t="n">
        <f aca="false">VLOOKUP(F48,['file:///Users/user/Downloads/10. MUSI BOSA CORTE 31 DE DICIEMBRE 2016_INSUMO CONTRALORIA.xls']Hoja2!$B$12:$C$40,2,0)</f>
        <v>21</v>
      </c>
      <c r="F48" s="36" t="s">
        <v>268</v>
      </c>
      <c r="G48" s="37" t="n">
        <v>369</v>
      </c>
      <c r="H48" s="36" t="s">
        <v>274</v>
      </c>
      <c r="I48" s="38" t="n">
        <f aca="false">VLOOKUP(J48,['file:///Users/user/Downloads/10. MUSI BOSA CORTE 31 DE DICIEMBRE 2016_INSUMO CONTRALORIA.xls']Hoja1!$D$81:$G$158,2,0)</f>
        <v>58</v>
      </c>
      <c r="J48" s="39" t="s">
        <v>275</v>
      </c>
      <c r="K48" s="38" t="n">
        <v>845</v>
      </c>
      <c r="L48" s="39" t="s">
        <v>271</v>
      </c>
      <c r="M48" s="38" t="n">
        <v>2</v>
      </c>
      <c r="N48" s="39" t="s">
        <v>115</v>
      </c>
      <c r="O48" s="40" t="n">
        <v>4</v>
      </c>
      <c r="P48" s="36" t="s">
        <v>116</v>
      </c>
      <c r="Q48" s="36" t="s">
        <v>276</v>
      </c>
      <c r="R48" s="39" t="str">
        <f aca="false">VLOOKUP(J48,['file:///Users/user/Downloads/10. MUSI BOSA CORTE 31 DE DICIEMBRE 2016_INSUMO CONTRALORIA.xls']Hoja1!$D$81:$G$158,4,0)</f>
        <v>1. AMBIENTE</v>
      </c>
      <c r="S48" s="39" t="str">
        <f aca="false">VLOOKUP(J48,['file:///Users/user/Downloads/10. MUSI BOSA CORTE 31 DE DICIEMBRE 2016_INSUMO CONTRALORIA.xls']Hoja1!$D$81:$G$158,3,0)</f>
        <v>Manejo integral de residuos sólidos </v>
      </c>
      <c r="T48" s="35" t="s">
        <v>52</v>
      </c>
      <c r="U48" s="41" t="n">
        <v>1</v>
      </c>
      <c r="V48" s="42" t="n">
        <f aca="false">AJ48/O48</f>
        <v>7</v>
      </c>
      <c r="W48" s="42" t="n">
        <f aca="false">U48*V48</f>
        <v>7</v>
      </c>
      <c r="X48" s="42" t="n">
        <f aca="false">AO48/O48</f>
        <v>3.75</v>
      </c>
      <c r="Y48" s="42" t="n">
        <f aca="false">X48*U48</f>
        <v>3.75</v>
      </c>
      <c r="Z48" s="38" t="n">
        <v>4</v>
      </c>
      <c r="AA48" s="40" t="n">
        <v>1</v>
      </c>
      <c r="AB48" s="40" t="n">
        <v>1</v>
      </c>
      <c r="AC48" s="40" t="n">
        <v>1</v>
      </c>
      <c r="AD48" s="40" t="n">
        <v>1</v>
      </c>
      <c r="AE48" s="40" t="n">
        <f aca="false">SI(T48="Constante";PROMEDIO(AA48;AB48;AC48;AD48);SI(T48="Suma";SUMA(AA48;AB48;AC48;AD48);0))</f>
        <v>4</v>
      </c>
      <c r="AF48" s="40" t="n">
        <v>1</v>
      </c>
      <c r="AG48" s="40" t="n">
        <f aca="false">13+1</f>
        <v>14</v>
      </c>
      <c r="AH48" s="43" t="n">
        <v>0</v>
      </c>
      <c r="AI48" s="44" t="n">
        <v>13</v>
      </c>
      <c r="AJ48" s="40" t="n">
        <f aca="false">SI(T48="Constante";PROMEDIO(AF48;AG48;AH48;AI48);SI(T48="Suma";SUMA(AF48;AG48;AH48;AI48);0))</f>
        <v>28</v>
      </c>
      <c r="AK48" s="40" t="n">
        <v>1</v>
      </c>
      <c r="AL48" s="43" t="n">
        <f aca="false">13+1</f>
        <v>14</v>
      </c>
      <c r="AM48" s="45" t="n">
        <v>0</v>
      </c>
      <c r="AN48" s="45" t="n">
        <v>0</v>
      </c>
      <c r="AO48" s="40" t="n">
        <f aca="false">SI(T48="Constante";PROMEDIO(AK48;AL48;AM48;AN48);SI(T48="Suma";SUMA(AK48;AL48;AM48;AN48);0))</f>
        <v>15</v>
      </c>
      <c r="AP48" s="46" t="n">
        <v>200000000</v>
      </c>
      <c r="AQ48" s="46" t="n">
        <v>471618011</v>
      </c>
      <c r="AR48" s="46" t="n">
        <v>0</v>
      </c>
      <c r="AS48" s="47" t="n">
        <f aca="false">190000000+11000000</f>
        <v>201000000</v>
      </c>
      <c r="AT48" s="46" t="n">
        <f aca="false">SUMA(AP48:AS48)</f>
        <v>872618011</v>
      </c>
      <c r="AU48" s="46" t="n">
        <v>80000000</v>
      </c>
      <c r="AV48" s="46" t="n">
        <v>110253350</v>
      </c>
      <c r="AW48" s="46" t="n">
        <v>0</v>
      </c>
      <c r="AX48" s="47" t="n">
        <v>0</v>
      </c>
      <c r="AY48" s="48" t="n">
        <f aca="false">SUMA(AU48:AX48)</f>
        <v>190253350</v>
      </c>
      <c r="AZ48" s="49"/>
      <c r="BA48" s="49"/>
      <c r="BB48" s="49" t="s">
        <v>65</v>
      </c>
      <c r="BC48" s="51" t="s">
        <v>277</v>
      </c>
    </row>
    <row collapsed="false" customFormat="true" customHeight="true" hidden="false" ht="37.5" outlineLevel="0" r="49" s="52">
      <c r="A49" s="34" t="n">
        <f aca="false">VLOOKUP(B49,['file:///Users/user/Downloads/10. MUSI BOSA CORTE 31 DE DICIEMBRE 2016_INSUMO CONTRALORIA.xls']Hoja2!$B$47:$C$66,2,0)</f>
        <v>7</v>
      </c>
      <c r="B49" s="35" t="s">
        <v>43</v>
      </c>
      <c r="C49" s="34" t="n">
        <f aca="false">VLOOKUP(D49,['file:///Users/user/Downloads/10. MUSI BOSA CORTE 31 DE DICIEMBRE 2016_INSUMO CONTRALORIA.xls']Hoja2!$B$8:$C$10,2,0)</f>
        <v>2</v>
      </c>
      <c r="D49" s="36" t="s">
        <v>209</v>
      </c>
      <c r="E49" s="34" t="n">
        <f aca="false">VLOOKUP(F49,['file:///Users/user/Downloads/10. MUSI BOSA CORTE 31 DE DICIEMBRE 2016_INSUMO CONTRALORIA.xls']Hoja2!$B$12:$C$40,2,0)</f>
        <v>21</v>
      </c>
      <c r="F49" s="36" t="s">
        <v>268</v>
      </c>
      <c r="G49" s="37" t="n">
        <v>370</v>
      </c>
      <c r="H49" s="36" t="s">
        <v>278</v>
      </c>
      <c r="I49" s="38" t="n">
        <f aca="false">VLOOKUP(J49,['file:///Users/user/Downloads/10. MUSI BOSA CORTE 31 DE DICIEMBRE 2016_INSUMO CONTRALORIA.xls']Hoja1!$D$81:$G$158,2,0)</f>
        <v>57</v>
      </c>
      <c r="J49" s="39" t="s">
        <v>270</v>
      </c>
      <c r="K49" s="38" t="n">
        <v>845</v>
      </c>
      <c r="L49" s="39" t="s">
        <v>271</v>
      </c>
      <c r="M49" s="38" t="n">
        <v>3</v>
      </c>
      <c r="N49" s="39" t="s">
        <v>56</v>
      </c>
      <c r="O49" s="40" t="n">
        <v>4000</v>
      </c>
      <c r="P49" s="36" t="s">
        <v>63</v>
      </c>
      <c r="Q49" s="36" t="s">
        <v>279</v>
      </c>
      <c r="R49" s="39" t="str">
        <f aca="false">VLOOKUP(J49,['file:///Users/user/Downloads/10. MUSI BOSA CORTE 31 DE DICIEMBRE 2016_INSUMO CONTRALORIA.xls']Hoja1!$D$81:$G$158,4,0)</f>
        <v>1. AMBIENTE</v>
      </c>
      <c r="S49" s="39" t="str">
        <f aca="false">VLOOKUP(J49,['file:///Users/user/Downloads/10. MUSI BOSA CORTE 31 DE DICIEMBRE 2016_INSUMO CONTRALORIA.xls']Hoja1!$D$81:$G$158,3,0)</f>
        <v>Manejo integral de residuos sólidos </v>
      </c>
      <c r="T49" s="35" t="s">
        <v>52</v>
      </c>
      <c r="U49" s="41" t="n">
        <v>1</v>
      </c>
      <c r="V49" s="42" t="n">
        <f aca="false">AJ49/O49</f>
        <v>16</v>
      </c>
      <c r="W49" s="42" t="n">
        <f aca="false">U49*V49</f>
        <v>16</v>
      </c>
      <c r="X49" s="42" t="n">
        <f aca="false">AO49/O49</f>
        <v>11.25</v>
      </c>
      <c r="Y49" s="42" t="n">
        <f aca="false">X49*U49</f>
        <v>11.25</v>
      </c>
      <c r="Z49" s="38" t="n">
        <v>275</v>
      </c>
      <c r="AA49" s="40" t="n">
        <v>1000</v>
      </c>
      <c r="AB49" s="40" t="n">
        <v>1000</v>
      </c>
      <c r="AC49" s="40" t="n">
        <v>1000</v>
      </c>
      <c r="AD49" s="40" t="n">
        <v>1000</v>
      </c>
      <c r="AE49" s="40" t="n">
        <f aca="false">SI(T49="Constante";PROMEDIO(AA49;AB49;AC49;AD49);SI(T49="Suma";SUMA(AA49;AB49;AC49;AD49);0))</f>
        <v>4000</v>
      </c>
      <c r="AF49" s="40" t="n">
        <v>30000</v>
      </c>
      <c r="AG49" s="40" t="n">
        <v>20000</v>
      </c>
      <c r="AH49" s="43" t="n">
        <v>0</v>
      </c>
      <c r="AI49" s="44" t="n">
        <v>14000</v>
      </c>
      <c r="AJ49" s="40" t="n">
        <f aca="false">SI(T49="Constante";PROMEDIO(AF49;AG49;AH49;AI49);SI(T49="Suma";SUMA(AF49;AG49;AH49;AI49);0))</f>
        <v>64000</v>
      </c>
      <c r="AK49" s="40" t="n">
        <v>16000</v>
      </c>
      <c r="AL49" s="43" t="n">
        <f aca="false">15000+9000+5000</f>
        <v>29000</v>
      </c>
      <c r="AM49" s="45" t="n">
        <v>0</v>
      </c>
      <c r="AN49" s="45" t="n">
        <v>0</v>
      </c>
      <c r="AO49" s="40" t="n">
        <f aca="false">SI(T49="Constante";PROMEDIO(AK49;AL49;AM49;AN49);SI(T49="Suma";SUMA(AK49;AL49;AM49;AN49);0))</f>
        <v>45000</v>
      </c>
      <c r="AP49" s="46" t="n">
        <v>150000000</v>
      </c>
      <c r="AQ49" s="46" t="n">
        <v>156358000</v>
      </c>
      <c r="AR49" s="46" t="n">
        <v>0</v>
      </c>
      <c r="AS49" s="47" t="n">
        <v>578966320</v>
      </c>
      <c r="AT49" s="46" t="n">
        <f aca="false">SUMA(AP49:AS49)</f>
        <v>885324320</v>
      </c>
      <c r="AU49" s="46" t="n">
        <v>56400000</v>
      </c>
      <c r="AV49" s="46" t="n">
        <v>60001650</v>
      </c>
      <c r="AW49" s="46" t="n">
        <v>0</v>
      </c>
      <c r="AX49" s="47" t="n">
        <v>0</v>
      </c>
      <c r="AY49" s="48" t="n">
        <f aca="false">SUMA(AU49:AX49)</f>
        <v>116401650</v>
      </c>
      <c r="AZ49" s="49"/>
      <c r="BA49" s="49"/>
      <c r="BB49" s="49" t="s">
        <v>65</v>
      </c>
      <c r="BC49" s="51" t="s">
        <v>280</v>
      </c>
    </row>
    <row collapsed="false" customFormat="true" customHeight="true" hidden="false" ht="37.5" outlineLevel="0" r="50" s="52">
      <c r="A50" s="34" t="n">
        <f aca="false">VLOOKUP(B50,['file:///Users/user/Downloads/10. MUSI BOSA CORTE 31 DE DICIEMBRE 2016_INSUMO CONTRALORIA.xls']Hoja2!$B$47:$C$66,2,0)</f>
        <v>7</v>
      </c>
      <c r="B50" s="35" t="s">
        <v>43</v>
      </c>
      <c r="C50" s="34" t="n">
        <f aca="false">VLOOKUP(D50,['file:///Users/user/Downloads/10. MUSI BOSA CORTE 31 DE DICIEMBRE 2016_INSUMO CONTRALORIA.xls']Hoja2!$B$8:$C$10,2,0)</f>
        <v>2</v>
      </c>
      <c r="D50" s="36" t="s">
        <v>209</v>
      </c>
      <c r="E50" s="34" t="n">
        <f aca="false">VLOOKUP(F50,['file:///Users/user/Downloads/10. MUSI BOSA CORTE 31 DE DICIEMBRE 2016_INSUMO CONTRALORIA.xls']Hoja2!$B$12:$C$40,2,0)</f>
        <v>22</v>
      </c>
      <c r="F50" s="36" t="s">
        <v>281</v>
      </c>
      <c r="G50" s="37" t="n">
        <v>371</v>
      </c>
      <c r="H50" s="36" t="s">
        <v>282</v>
      </c>
      <c r="I50" s="38" t="n">
        <f aca="false">VLOOKUP(J50,['file:///Users/user/Downloads/10. MUSI BOSA CORTE 31 DE DICIEMBRE 2016_INSUMO CONTRALORIA.xls']Hoja1!$D$81:$G$158,2,0)</f>
        <v>60</v>
      </c>
      <c r="J50" s="39" t="s">
        <v>283</v>
      </c>
      <c r="K50" s="38" t="n">
        <v>846</v>
      </c>
      <c r="L50" s="39" t="s">
        <v>284</v>
      </c>
      <c r="M50" s="38" t="n">
        <v>1</v>
      </c>
      <c r="N50" s="39" t="s">
        <v>254</v>
      </c>
      <c r="O50" s="40" t="n">
        <v>2000</v>
      </c>
      <c r="P50" s="36" t="s">
        <v>63</v>
      </c>
      <c r="Q50" s="36" t="s">
        <v>285</v>
      </c>
      <c r="R50" s="39" t="str">
        <f aca="false">VLOOKUP(J50,['file:///Users/user/Downloads/10. MUSI BOSA CORTE 31 DE DICIEMBRE 2016_INSUMO CONTRALORIA.xls']Hoja1!$D$81:$G$158,4,0)</f>
        <v>1. AMBIENTE</v>
      </c>
      <c r="S50" s="39" t="str">
        <f aca="false">VLOOKUP(J50,['file:///Users/user/Downloads/10. MUSI BOSA CORTE 31 DE DICIEMBRE 2016_INSUMO CONTRALORIA.xls']Hoja1!$D$81:$G$158,3,0)</f>
        <v>Calidad ambiental y preservación del patrimonio natural</v>
      </c>
      <c r="T50" s="35" t="s">
        <v>52</v>
      </c>
      <c r="U50" s="41" t="n">
        <v>1</v>
      </c>
      <c r="V50" s="42" t="n">
        <f aca="false">AJ50/O50</f>
        <v>2.15</v>
      </c>
      <c r="W50" s="42" t="n">
        <f aca="false">U50*V50</f>
        <v>2.15</v>
      </c>
      <c r="X50" s="42" t="n">
        <f aca="false">AO50/O50</f>
        <v>3.55</v>
      </c>
      <c r="Y50" s="42" t="n">
        <f aca="false">X50*U50</f>
        <v>3.55</v>
      </c>
      <c r="Z50" s="38" t="n">
        <v>0</v>
      </c>
      <c r="AA50" s="40" t="n">
        <v>500</v>
      </c>
      <c r="AB50" s="40" t="n">
        <v>750</v>
      </c>
      <c r="AC50" s="40" t="n">
        <v>750</v>
      </c>
      <c r="AD50" s="40" t="n">
        <v>0</v>
      </c>
      <c r="AE50" s="40" t="n">
        <f aca="false">SI(T50="Constante";PROMEDIO(AA50;AB50;AC50;AD50);SI(T50="Suma";SUMA(AA50;AB50;AC50;AD50);0))</f>
        <v>2000</v>
      </c>
      <c r="AF50" s="40" t="n">
        <v>2300</v>
      </c>
      <c r="AG50" s="40" t="n">
        <v>2000</v>
      </c>
      <c r="AH50" s="43" t="n">
        <v>0</v>
      </c>
      <c r="AI50" s="44" t="n">
        <v>0</v>
      </c>
      <c r="AJ50" s="40" t="n">
        <f aca="false">SI(T50="Constante";PROMEDIO(AF50;AG50;AH50;AI50);SI(T50="Suma";SUMA(AF50;AG50;AH50;AI50);0))</f>
        <v>4300</v>
      </c>
      <c r="AK50" s="40" t="n">
        <v>2300</v>
      </c>
      <c r="AL50" s="43" t="n">
        <v>4800</v>
      </c>
      <c r="AM50" s="45" t="n">
        <v>0</v>
      </c>
      <c r="AN50" s="45" t="n">
        <v>0</v>
      </c>
      <c r="AO50" s="40" t="n">
        <f aca="false">SI(T50="Constante";PROMEDIO(AK50;AL50;AM50;AN50);SI(T50="Suma";SUMA(AK50;AL50;AM50;AN50);0))</f>
        <v>7100</v>
      </c>
      <c r="AP50" s="46" t="n">
        <f aca="false">183628000+12000000</f>
        <v>195628000</v>
      </c>
      <c r="AQ50" s="46" t="n">
        <v>304950000</v>
      </c>
      <c r="AR50" s="46" t="n">
        <v>0</v>
      </c>
      <c r="AS50" s="47" t="n">
        <v>0</v>
      </c>
      <c r="AT50" s="46" t="n">
        <f aca="false">SUMA(AP50:AS50)</f>
        <v>500578000</v>
      </c>
      <c r="AU50" s="46" t="n">
        <v>0</v>
      </c>
      <c r="AV50" s="46" t="n">
        <v>85632600</v>
      </c>
      <c r="AW50" s="46" t="n">
        <v>0</v>
      </c>
      <c r="AX50" s="47" t="n">
        <v>0</v>
      </c>
      <c r="AY50" s="48" t="n">
        <f aca="false">SUMA(AU50:AX50)</f>
        <v>85632600</v>
      </c>
      <c r="AZ50" s="49"/>
      <c r="BA50" s="49"/>
      <c r="BB50" s="49" t="s">
        <v>65</v>
      </c>
      <c r="BC50" s="51" t="s">
        <v>286</v>
      </c>
    </row>
    <row collapsed="false" customFormat="true" customHeight="true" hidden="false" ht="37.5" outlineLevel="0" r="51" s="52">
      <c r="A51" s="34" t="n">
        <f aca="false">VLOOKUP(B51,['file:///Users/user/Downloads/10. MUSI BOSA CORTE 31 DE DICIEMBRE 2016_INSUMO CONTRALORIA.xls']Hoja2!$B$47:$C$66,2,0)</f>
        <v>7</v>
      </c>
      <c r="B51" s="35" t="s">
        <v>43</v>
      </c>
      <c r="C51" s="34" t="n">
        <f aca="false">VLOOKUP(D51,['file:///Users/user/Downloads/10. MUSI BOSA CORTE 31 DE DICIEMBRE 2016_INSUMO CONTRALORIA.xls']Hoja2!$B$8:$C$10,2,0)</f>
        <v>2</v>
      </c>
      <c r="D51" s="36" t="s">
        <v>209</v>
      </c>
      <c r="E51" s="34" t="n">
        <f aca="false">VLOOKUP(F51,['file:///Users/user/Downloads/10. MUSI BOSA CORTE 31 DE DICIEMBRE 2016_INSUMO CONTRALORIA.xls']Hoja2!$B$12:$C$40,2,0)</f>
        <v>22</v>
      </c>
      <c r="F51" s="36" t="s">
        <v>281</v>
      </c>
      <c r="G51" s="37" t="n">
        <v>372</v>
      </c>
      <c r="H51" s="36" t="s">
        <v>287</v>
      </c>
      <c r="I51" s="38" t="n">
        <f aca="false">VLOOKUP(J51,['file:///Users/user/Downloads/10. MUSI BOSA CORTE 31 DE DICIEMBRE 2016_INSUMO CONTRALORIA.xls']Hoja1!$D$81:$G$158,2,0)</f>
        <v>43</v>
      </c>
      <c r="J51" s="39" t="s">
        <v>288</v>
      </c>
      <c r="K51" s="38" t="n">
        <v>846</v>
      </c>
      <c r="L51" s="39" t="s">
        <v>284</v>
      </c>
      <c r="M51" s="38" t="n">
        <v>2</v>
      </c>
      <c r="N51" s="39" t="s">
        <v>254</v>
      </c>
      <c r="O51" s="40" t="n">
        <v>1000</v>
      </c>
      <c r="P51" s="36" t="s">
        <v>63</v>
      </c>
      <c r="Q51" s="36" t="s">
        <v>289</v>
      </c>
      <c r="R51" s="39" t="str">
        <f aca="false">VLOOKUP(J51,['file:///Users/user/Downloads/10. MUSI BOSA CORTE 31 DE DICIEMBRE 2016_INSUMO CONTRALORIA.xls']Hoja1!$D$81:$G$158,4,0)</f>
        <v>1. AMBIENTE</v>
      </c>
      <c r="S51" s="39" t="str">
        <f aca="false">VLOOKUP(J51,['file:///Users/user/Downloads/10. MUSI BOSA CORTE 31 DE DICIEMBRE 2016_INSUMO CONTRALORIA.xls']Hoja1!$D$81:$G$158,3,0)</f>
        <v>Calidad ambiental y preservación del patrimonio natural</v>
      </c>
      <c r="T51" s="35" t="s">
        <v>52</v>
      </c>
      <c r="U51" s="41" t="n">
        <v>1</v>
      </c>
      <c r="V51" s="42" t="n">
        <f aca="false">AJ51/O51</f>
        <v>0.8</v>
      </c>
      <c r="W51" s="42" t="n">
        <f aca="false">U51*V51</f>
        <v>0.8</v>
      </c>
      <c r="X51" s="42" t="n">
        <f aca="false">AO51/O51</f>
        <v>0.8</v>
      </c>
      <c r="Y51" s="42" t="n">
        <f aca="false">X51*U51</f>
        <v>0.8</v>
      </c>
      <c r="Z51" s="38" t="n">
        <v>0</v>
      </c>
      <c r="AA51" s="40" t="n">
        <v>250</v>
      </c>
      <c r="AB51" s="40" t="n">
        <v>375</v>
      </c>
      <c r="AC51" s="40" t="n">
        <v>375</v>
      </c>
      <c r="AD51" s="40" t="n">
        <v>0</v>
      </c>
      <c r="AE51" s="40" t="n">
        <f aca="false">SI(T51="Constante";PROMEDIO(AA51;AB51;AC51;AD51);SI(T51="Suma";SUMA(AA51;AB51;AC51;AD51);0))</f>
        <v>1000</v>
      </c>
      <c r="AF51" s="40" t="n">
        <v>300</v>
      </c>
      <c r="AG51" s="40" t="n">
        <v>200</v>
      </c>
      <c r="AH51" s="43" t="n">
        <v>300</v>
      </c>
      <c r="AI51" s="44" t="n">
        <v>0</v>
      </c>
      <c r="AJ51" s="40" t="n">
        <f aca="false">SI(T51="Constante";PROMEDIO(AF51;AG51;AH51;AI51);SI(T51="Suma";SUMA(AF51;AG51;AH51;AI51);0))</f>
        <v>800</v>
      </c>
      <c r="AK51" s="40" t="n">
        <v>300</v>
      </c>
      <c r="AL51" s="43" t="n">
        <v>200</v>
      </c>
      <c r="AM51" s="45" t="n">
        <v>300</v>
      </c>
      <c r="AN51" s="45" t="n">
        <v>0</v>
      </c>
      <c r="AO51" s="40" t="n">
        <f aca="false">SI(T51="Constante";PROMEDIO(AK51;AL51;AM51;AN51);SI(T51="Suma";SUMA(AK51;AL51;AM51;AN51);0))</f>
        <v>800</v>
      </c>
      <c r="AP51" s="46" t="n">
        <v>190100000</v>
      </c>
      <c r="AQ51" s="46" t="n">
        <v>95050000</v>
      </c>
      <c r="AR51" s="46" t="n">
        <v>187718490</v>
      </c>
      <c r="AS51" s="47" t="n">
        <v>0</v>
      </c>
      <c r="AT51" s="46" t="n">
        <f aca="false">SUMA(AP51:AS51)</f>
        <v>472868490</v>
      </c>
      <c r="AU51" s="46" t="n">
        <v>0</v>
      </c>
      <c r="AV51" s="46" t="n">
        <v>86145000</v>
      </c>
      <c r="AW51" s="46" t="n">
        <v>109031094</v>
      </c>
      <c r="AX51" s="47" t="n">
        <v>0</v>
      </c>
      <c r="AY51" s="48" t="n">
        <f aca="false">SUMA(AU51:AX51)</f>
        <v>195176094</v>
      </c>
      <c r="AZ51" s="49"/>
      <c r="BA51" s="49"/>
      <c r="BB51" s="49" t="s">
        <v>65</v>
      </c>
      <c r="BC51" s="51"/>
    </row>
    <row collapsed="false" customFormat="true" customHeight="true" hidden="false" ht="37.5" outlineLevel="0" r="52" s="52">
      <c r="A52" s="34" t="n">
        <f aca="false">VLOOKUP(B52,['file:///Users/user/Downloads/10. MUSI BOSA CORTE 31 DE DICIEMBRE 2016_INSUMO CONTRALORIA.xls']Hoja2!$B$47:$C$66,2,0)</f>
        <v>7</v>
      </c>
      <c r="B52" s="35" t="s">
        <v>43</v>
      </c>
      <c r="C52" s="34" t="n">
        <f aca="false">VLOOKUP(D52,['file:///Users/user/Downloads/10. MUSI BOSA CORTE 31 DE DICIEMBRE 2016_INSUMO CONTRALORIA.xls']Hoja2!$B$8:$C$10,2,0)</f>
        <v>3</v>
      </c>
      <c r="D52" s="36" t="s">
        <v>290</v>
      </c>
      <c r="E52" s="34" t="n">
        <f aca="false">VLOOKUP(F52,['file:///Users/user/Downloads/10. MUSI BOSA CORTE 31 DE DICIEMBRE 2016_INSUMO CONTRALORIA.xls']Hoja2!$B$12:$C$40,2,0)</f>
        <v>24</v>
      </c>
      <c r="F52" s="36" t="s">
        <v>291</v>
      </c>
      <c r="G52" s="37" t="n">
        <v>373</v>
      </c>
      <c r="H52" s="36" t="s">
        <v>292</v>
      </c>
      <c r="I52" s="38" t="n">
        <f aca="false">VLOOKUP(J52,['file:///Users/user/Downloads/10. MUSI BOSA CORTE 31 DE DICIEMBRE 2016_INSUMO CONTRALORIA.xls']Hoja1!$D$81:$G$158,2,0)</f>
        <v>61</v>
      </c>
      <c r="J52" s="39" t="s">
        <v>293</v>
      </c>
      <c r="K52" s="38" t="n">
        <v>848</v>
      </c>
      <c r="L52" s="39" t="s">
        <v>294</v>
      </c>
      <c r="M52" s="38" t="n">
        <v>3</v>
      </c>
      <c r="N52" s="39" t="s">
        <v>56</v>
      </c>
      <c r="O52" s="40" t="n">
        <v>6000</v>
      </c>
      <c r="P52" s="36" t="s">
        <v>63</v>
      </c>
      <c r="Q52" s="36" t="s">
        <v>295</v>
      </c>
      <c r="R52" s="39" t="str">
        <f aca="false">VLOOKUP(J52,['file:///Users/user/Downloads/10. MUSI BOSA CORTE 31 DE DICIEMBRE 2016_INSUMO CONTRALORIA.xls']Hoja1!$D$81:$G$158,4,0)</f>
        <v>5. GOBIERNO </v>
      </c>
      <c r="S52" s="39" t="str">
        <f aca="false">VLOOKUP(J52,['file:///Users/user/Downloads/10. MUSI BOSA CORTE 31 DE DICIEMBRE 2016_INSUMO CONTRALORIA.xls']Hoja1!$D$81:$G$158,3,0)</f>
        <v>Espacios y procesos de participación ciudadana fortalecidos </v>
      </c>
      <c r="T52" s="96" t="s">
        <v>52</v>
      </c>
      <c r="U52" s="41" t="n">
        <v>1</v>
      </c>
      <c r="V52" s="42" t="n">
        <f aca="false">AJ52/O52</f>
        <v>1.00883333333333</v>
      </c>
      <c r="W52" s="42" t="n">
        <f aca="false">U52*V52</f>
        <v>1.00883333333333</v>
      </c>
      <c r="X52" s="42" t="n">
        <f aca="false">AO52/O52</f>
        <v>1.06316666666667</v>
      </c>
      <c r="Y52" s="42" t="n">
        <f aca="false">X52*U52</f>
        <v>1.06316666666667</v>
      </c>
      <c r="Z52" s="38" t="n">
        <v>0</v>
      </c>
      <c r="AA52" s="40" t="n">
        <v>1500</v>
      </c>
      <c r="AB52" s="40" t="n">
        <v>1500</v>
      </c>
      <c r="AC52" s="40" t="n">
        <v>1500</v>
      </c>
      <c r="AD52" s="40" t="n">
        <v>1500</v>
      </c>
      <c r="AE52" s="40" t="n">
        <f aca="false">SI(T52="Constante";PROMEDIO(AA52;AB52;AC52;AD52);SI(T52="Suma";SUMA(AA52;AB52;AC52;AD52);0))</f>
        <v>6000</v>
      </c>
      <c r="AF52" s="40" t="n">
        <f aca="false">100+1200+1850+150+1330</f>
        <v>4630</v>
      </c>
      <c r="AG52" s="40" t="n">
        <v>1167</v>
      </c>
      <c r="AH52" s="43" t="n">
        <v>256</v>
      </c>
      <c r="AI52" s="44" t="n">
        <v>0</v>
      </c>
      <c r="AJ52" s="40" t="n">
        <f aca="false">SI(T52="Constante";PROMEDIO(AF52;AG52;AH52;AI52);SI(T52="Suma";SUMA(AF52;AG52;AH52;AI52);0))</f>
        <v>6053</v>
      </c>
      <c r="AK52" s="40" t="n">
        <v>4630</v>
      </c>
      <c r="AL52" s="43" t="n">
        <v>1493</v>
      </c>
      <c r="AM52" s="45" t="n">
        <v>256</v>
      </c>
      <c r="AN52" s="45" t="n">
        <v>0</v>
      </c>
      <c r="AO52" s="40" t="n">
        <f aca="false">SI(T52="Constante";PROMEDIO(AK52;AL52;AM52;AN52);SI(T52="Suma";SUMA(AK52;AL52;AM52;AN52);0))</f>
        <v>6379</v>
      </c>
      <c r="AP52" s="46" t="n">
        <v>50000000</v>
      </c>
      <c r="AQ52" s="46" t="n">
        <v>155000000</v>
      </c>
      <c r="AR52" s="46" t="n">
        <v>75000000</v>
      </c>
      <c r="AS52" s="47" t="n">
        <v>0</v>
      </c>
      <c r="AT52" s="46" t="n">
        <f aca="false">SUMA(AP52:AS52)</f>
        <v>280000000</v>
      </c>
      <c r="AU52" s="46" t="n">
        <v>44378670</v>
      </c>
      <c r="AV52" s="46" t="n">
        <v>94379852</v>
      </c>
      <c r="AW52" s="46" t="n">
        <v>0</v>
      </c>
      <c r="AX52" s="47" t="n">
        <v>0</v>
      </c>
      <c r="AY52" s="48" t="n">
        <f aca="false">SUMA(AU52:AX52)</f>
        <v>138758522</v>
      </c>
      <c r="AZ52" s="49"/>
      <c r="BA52" s="49"/>
      <c r="BB52" s="49" t="s">
        <v>65</v>
      </c>
      <c r="BC52" s="51" t="s">
        <v>296</v>
      </c>
    </row>
    <row collapsed="false" customFormat="true" customHeight="true" hidden="false" ht="37.5" outlineLevel="0" r="53" s="52">
      <c r="A53" s="34" t="n">
        <f aca="false">VLOOKUP(B53,['file:///Users/user/Downloads/10. MUSI BOSA CORTE 31 DE DICIEMBRE 2016_INSUMO CONTRALORIA.xls']Hoja2!$B$47:$C$66,2,0)</f>
        <v>7</v>
      </c>
      <c r="B53" s="35" t="s">
        <v>43</v>
      </c>
      <c r="C53" s="34" t="n">
        <f aca="false">VLOOKUP(D53,['file:///Users/user/Downloads/10. MUSI BOSA CORTE 31 DE DICIEMBRE 2016_INSUMO CONTRALORIA.xls']Hoja2!$B$8:$C$10,2,0)</f>
        <v>3</v>
      </c>
      <c r="D53" s="36" t="s">
        <v>290</v>
      </c>
      <c r="E53" s="34" t="n">
        <f aca="false">VLOOKUP(F53,['file:///Users/user/Downloads/10. MUSI BOSA CORTE 31 DE DICIEMBRE 2016_INSUMO CONTRALORIA.xls']Hoja2!$B$12:$C$40,2,0)</f>
        <v>24</v>
      </c>
      <c r="F53" s="36" t="s">
        <v>291</v>
      </c>
      <c r="G53" s="37" t="n">
        <v>374</v>
      </c>
      <c r="H53" s="36" t="s">
        <v>297</v>
      </c>
      <c r="I53" s="38" t="n">
        <f aca="false">VLOOKUP(J53,['file:///Users/user/Downloads/10. MUSI BOSA CORTE 31 DE DICIEMBRE 2016_INSUMO CONTRALORIA.xls']Hoja1!$D$81:$G$158,2,0)</f>
        <v>71</v>
      </c>
      <c r="J53" s="39" t="s">
        <v>298</v>
      </c>
      <c r="K53" s="38" t="n">
        <v>848</v>
      </c>
      <c r="L53" s="39" t="s">
        <v>294</v>
      </c>
      <c r="M53" s="38" t="n">
        <v>4</v>
      </c>
      <c r="N53" s="39" t="s">
        <v>56</v>
      </c>
      <c r="O53" s="40" t="n">
        <v>600</v>
      </c>
      <c r="P53" s="36" t="s">
        <v>63</v>
      </c>
      <c r="Q53" s="36" t="s">
        <v>299</v>
      </c>
      <c r="R53" s="39" t="str">
        <f aca="false">VLOOKUP(J53,['file:///Users/user/Downloads/10. MUSI BOSA CORTE 31 DE DICIEMBRE 2016_INSUMO CONTRALORIA.xls']Hoja1!$D$81:$G$158,4,0)</f>
        <v>5. GOBIERNO </v>
      </c>
      <c r="S53" s="39" t="str">
        <f aca="false">VLOOKUP(J53,['file:///Users/user/Downloads/10. MUSI BOSA CORTE 31 DE DICIEMBRE 2016_INSUMO CONTRALORIA.xls']Hoja1!$D$81:$G$158,3,0)</f>
        <v>Espacios para el control social</v>
      </c>
      <c r="T53" s="35" t="s">
        <v>52</v>
      </c>
      <c r="U53" s="41" t="n">
        <v>1</v>
      </c>
      <c r="V53" s="42" t="n">
        <f aca="false">AJ53/O53</f>
        <v>1.18333333333333</v>
      </c>
      <c r="W53" s="42" t="n">
        <f aca="false">U53*V53</f>
        <v>1.18333333333333</v>
      </c>
      <c r="X53" s="42" t="n">
        <f aca="false">AO53/O53</f>
        <v>0.876666666666667</v>
      </c>
      <c r="Y53" s="42" t="n">
        <f aca="false">X53*U53</f>
        <v>0.876666666666667</v>
      </c>
      <c r="Z53" s="38" t="n">
        <v>0</v>
      </c>
      <c r="AA53" s="40" t="n">
        <v>150</v>
      </c>
      <c r="AB53" s="40" t="n">
        <v>150</v>
      </c>
      <c r="AC53" s="40" t="n">
        <v>150</v>
      </c>
      <c r="AD53" s="40" t="n">
        <v>150</v>
      </c>
      <c r="AE53" s="40" t="n">
        <f aca="false">SI(T53="Constante";PROMEDIO(AA53;AB53;AC53;AD53);SI(T53="Suma";SUMA(AA53;AB53;AC53;AD53);0))</f>
        <v>600</v>
      </c>
      <c r="AF53" s="40" t="n">
        <v>390</v>
      </c>
      <c r="AG53" s="40" t="n">
        <v>320</v>
      </c>
      <c r="AH53" s="43" t="n">
        <v>0</v>
      </c>
      <c r="AI53" s="44" t="n">
        <v>0</v>
      </c>
      <c r="AJ53" s="40" t="n">
        <f aca="false">SI(T53="Constante";PROMEDIO(AF53;AG53;AH53;AI53);SI(T53="Suma";SUMA(AF53;AG53;AH53;AI53);0))</f>
        <v>710</v>
      </c>
      <c r="AK53" s="40" t="n">
        <v>200</v>
      </c>
      <c r="AL53" s="43" t="n">
        <v>326</v>
      </c>
      <c r="AM53" s="45" t="n">
        <v>0</v>
      </c>
      <c r="AN53" s="45" t="n">
        <v>0</v>
      </c>
      <c r="AO53" s="40" t="n">
        <f aca="false">SI(T53="Constante";PROMEDIO(AK53;AL53;AM53;AN53);SI(T53="Suma";SUMA(AK53;AL53;AM53;AN53);0))</f>
        <v>526</v>
      </c>
      <c r="AP53" s="46" t="n">
        <v>254000000</v>
      </c>
      <c r="AQ53" s="46" t="n">
        <v>263038947</v>
      </c>
      <c r="AR53" s="46" t="n">
        <v>0</v>
      </c>
      <c r="AS53" s="47" t="n">
        <v>0</v>
      </c>
      <c r="AT53" s="46" t="n">
        <f aca="false">SUMA(AP53:AS53)</f>
        <v>517038947</v>
      </c>
      <c r="AU53" s="46" t="n">
        <v>0</v>
      </c>
      <c r="AV53" s="46" t="n">
        <v>4281429</v>
      </c>
      <c r="AW53" s="46" t="n">
        <v>0</v>
      </c>
      <c r="AX53" s="47" t="n">
        <v>0</v>
      </c>
      <c r="AY53" s="48" t="n">
        <f aca="false">SUMA(AU53:AX53)</f>
        <v>4281429</v>
      </c>
      <c r="AZ53" s="49"/>
      <c r="BA53" s="49"/>
      <c r="BB53" s="49" t="s">
        <v>65</v>
      </c>
      <c r="BC53" s="51" t="s">
        <v>300</v>
      </c>
    </row>
    <row collapsed="false" customFormat="true" customHeight="true" hidden="false" ht="37.5" outlineLevel="0" r="54" s="52">
      <c r="A54" s="34" t="n">
        <f aca="false">VLOOKUP(B54,['file:///Users/user/Downloads/10. MUSI BOSA CORTE 31 DE DICIEMBRE 2016_INSUMO CONTRALORIA.xls']Hoja2!$B$47:$C$66,2,0)</f>
        <v>7</v>
      </c>
      <c r="B54" s="35" t="s">
        <v>43</v>
      </c>
      <c r="C54" s="34" t="n">
        <f aca="false">VLOOKUP(D54,['file:///Users/user/Downloads/10. MUSI BOSA CORTE 31 DE DICIEMBRE 2016_INSUMO CONTRALORIA.xls']Hoja2!$B$8:$C$10,2,0)</f>
        <v>3</v>
      </c>
      <c r="D54" s="36" t="s">
        <v>290</v>
      </c>
      <c r="E54" s="34" t="n">
        <f aca="false">VLOOKUP(F54,['file:///Users/user/Downloads/10. MUSI BOSA CORTE 31 DE DICIEMBRE 2016_INSUMO CONTRALORIA.xls']Hoja2!$B$12:$C$40,2,0)</f>
        <v>24</v>
      </c>
      <c r="F54" s="36" t="s">
        <v>291</v>
      </c>
      <c r="G54" s="37" t="n">
        <v>375</v>
      </c>
      <c r="H54" s="36" t="s">
        <v>301</v>
      </c>
      <c r="I54" s="38" t="n">
        <f aca="false">VLOOKUP(J54,['file:///Users/user/Downloads/10. MUSI BOSA CORTE 31 DE DICIEMBRE 2016_INSUMO CONTRALORIA.xls']Hoja1!$D$81:$G$158,2,0)</f>
        <v>65</v>
      </c>
      <c r="J54" s="39" t="s">
        <v>302</v>
      </c>
      <c r="K54" s="38" t="n">
        <v>848</v>
      </c>
      <c r="L54" s="39" t="s">
        <v>294</v>
      </c>
      <c r="M54" s="38" t="n">
        <v>1</v>
      </c>
      <c r="N54" s="39" t="s">
        <v>303</v>
      </c>
      <c r="O54" s="40" t="n">
        <v>160</v>
      </c>
      <c r="P54" s="36" t="s">
        <v>304</v>
      </c>
      <c r="Q54" s="36" t="s">
        <v>305</v>
      </c>
      <c r="R54" s="39" t="str">
        <f aca="false">VLOOKUP(J54,['file:///Users/user/Downloads/10. MUSI BOSA CORTE 31 DE DICIEMBRE 2016_INSUMO CONTRALORIA.xls']Hoja1!$D$81:$G$158,4,0)</f>
        <v>5. GOBIERNO </v>
      </c>
      <c r="S54" s="39" t="str">
        <f aca="false">VLOOKUP(J54,['file:///Users/user/Downloads/10. MUSI BOSA CORTE 31 DE DICIEMBRE 2016_INSUMO CONTRALORIA.xls']Hoja1!$D$81:$G$158,3,0)</f>
        <v>Espacios y procesos de participación ciudadana fortalecidos </v>
      </c>
      <c r="T54" s="35" t="s">
        <v>52</v>
      </c>
      <c r="U54" s="41" t="n">
        <v>1</v>
      </c>
      <c r="V54" s="42" t="n">
        <f aca="false">AJ54/O54</f>
        <v>1.5</v>
      </c>
      <c r="W54" s="42" t="n">
        <f aca="false">U54*V54</f>
        <v>1.5</v>
      </c>
      <c r="X54" s="42" t="n">
        <f aca="false">AO54/O54</f>
        <v>1.45625</v>
      </c>
      <c r="Y54" s="42" t="n">
        <f aca="false">X54*U54</f>
        <v>1.45625</v>
      </c>
      <c r="Z54" s="38" t="n">
        <v>204</v>
      </c>
      <c r="AA54" s="40" t="n">
        <v>40</v>
      </c>
      <c r="AB54" s="40" t="n">
        <v>40</v>
      </c>
      <c r="AC54" s="40" t="n">
        <v>40</v>
      </c>
      <c r="AD54" s="40" t="n">
        <v>40</v>
      </c>
      <c r="AE54" s="40" t="n">
        <f aca="false">SI(T54="Constante";PROMEDIO(AA54;AB54;AC54;AD54);SI(T54="Suma";SUMA(AA54;AB54;AC54;AD54);0))</f>
        <v>160</v>
      </c>
      <c r="AF54" s="40" t="n">
        <v>40</v>
      </c>
      <c r="AG54" s="40" t="n">
        <v>48</v>
      </c>
      <c r="AH54" s="43" t="n">
        <v>32</v>
      </c>
      <c r="AI54" s="44" t="n">
        <v>120</v>
      </c>
      <c r="AJ54" s="40" t="n">
        <f aca="false">SI(T54="Constante";PROMEDIO(AF54;AG54;AH54;AI54);SI(T54="Suma";SUMA(AF54;AG54;AH54;AI54);0))</f>
        <v>240</v>
      </c>
      <c r="AK54" s="40" t="n">
        <v>36</v>
      </c>
      <c r="AL54" s="43" t="n">
        <v>45</v>
      </c>
      <c r="AM54" s="45" t="n">
        <v>32</v>
      </c>
      <c r="AN54" s="45" t="n">
        <v>120</v>
      </c>
      <c r="AO54" s="40" t="n">
        <f aca="false">SI(T54="Constante";PROMEDIO(AK54;AL54;AM54;AN54);SI(T54="Suma";SUMA(AK54;AL54;AM54;AN54);0))</f>
        <v>233</v>
      </c>
      <c r="AP54" s="46" t="n">
        <v>214000000</v>
      </c>
      <c r="AQ54" s="46" t="n">
        <v>220485000</v>
      </c>
      <c r="AR54" s="46" t="n">
        <v>220922014</v>
      </c>
      <c r="AS54" s="47" t="n">
        <v>116426005</v>
      </c>
      <c r="AT54" s="46" t="n">
        <f aca="false">SUMA(AP54:AS54)</f>
        <v>771833019</v>
      </c>
      <c r="AU54" s="46" t="n">
        <v>0</v>
      </c>
      <c r="AV54" s="46" t="n">
        <v>6392000</v>
      </c>
      <c r="AW54" s="46" t="n">
        <v>9392458</v>
      </c>
      <c r="AX54" s="47" t="n">
        <v>85834698</v>
      </c>
      <c r="AY54" s="48" t="n">
        <f aca="false">SUMA(AU54:AX54)</f>
        <v>101619156</v>
      </c>
      <c r="AZ54" s="49"/>
      <c r="BA54" s="49"/>
      <c r="BB54" s="49" t="s">
        <v>65</v>
      </c>
      <c r="BC54" s="51" t="s">
        <v>306</v>
      </c>
    </row>
    <row collapsed="false" customFormat="true" customHeight="true" hidden="false" ht="37.5" outlineLevel="0" r="55" s="52">
      <c r="A55" s="34" t="n">
        <f aca="false">VLOOKUP(B55,['file:///Users/user/Downloads/10. MUSI BOSA CORTE 31 DE DICIEMBRE 2016_INSUMO CONTRALORIA.xls']Hoja2!$B$47:$C$66,2,0)</f>
        <v>7</v>
      </c>
      <c r="B55" s="35" t="s">
        <v>43</v>
      </c>
      <c r="C55" s="34" t="n">
        <f aca="false">VLOOKUP(D55,['file:///Users/user/Downloads/10. MUSI BOSA CORTE 31 DE DICIEMBRE 2016_INSUMO CONTRALORIA.xls']Hoja2!$B$8:$C$10,2,0)</f>
        <v>3</v>
      </c>
      <c r="D55" s="36" t="s">
        <v>290</v>
      </c>
      <c r="E55" s="34" t="n">
        <f aca="false">VLOOKUP(F55,['file:///Users/user/Downloads/10. MUSI BOSA CORTE 31 DE DICIEMBRE 2016_INSUMO CONTRALORIA.xls']Hoja2!$B$12:$C$40,2,0)</f>
        <v>24</v>
      </c>
      <c r="F55" s="36" t="s">
        <v>291</v>
      </c>
      <c r="G55" s="37" t="n">
        <v>376</v>
      </c>
      <c r="H55" s="36" t="s">
        <v>307</v>
      </c>
      <c r="I55" s="38" t="n">
        <f aca="false">VLOOKUP(J55,['file:///Users/user/Downloads/10. MUSI BOSA CORTE 31 DE DICIEMBRE 2016_INSUMO CONTRALORIA.xls']Hoja1!$D$81:$G$158,2,0)</f>
        <v>63</v>
      </c>
      <c r="J55" s="39" t="s">
        <v>308</v>
      </c>
      <c r="K55" s="38" t="n">
        <v>848</v>
      </c>
      <c r="L55" s="39" t="s">
        <v>294</v>
      </c>
      <c r="M55" s="38" t="n">
        <v>7</v>
      </c>
      <c r="N55" s="39" t="s">
        <v>49</v>
      </c>
      <c r="O55" s="40" t="n">
        <v>75</v>
      </c>
      <c r="P55" s="36" t="s">
        <v>309</v>
      </c>
      <c r="Q55" s="36" t="s">
        <v>310</v>
      </c>
      <c r="R55" s="39" t="str">
        <f aca="false">VLOOKUP(J55,['file:///Users/user/Downloads/10. MUSI BOSA CORTE 31 DE DICIEMBRE 2016_INSUMO CONTRALORIA.xls']Hoja1!$D$81:$G$158,4,0)</f>
        <v>5. GOBIERNO </v>
      </c>
      <c r="S55" s="39" t="str">
        <f aca="false">VLOOKUP(J55,['file:///Users/user/Downloads/10. MUSI BOSA CORTE 31 DE DICIEMBRE 2016_INSUMO CONTRALORIA.xls']Hoja1!$D$81:$G$158,3,0)</f>
        <v>Espacios y procesos de participación ciudadana fortalecidos </v>
      </c>
      <c r="T55" s="35" t="s">
        <v>52</v>
      </c>
      <c r="U55" s="41" t="n">
        <v>1</v>
      </c>
      <c r="V55" s="42" t="n">
        <f aca="false">AJ55/O55</f>
        <v>0.786666666666667</v>
      </c>
      <c r="W55" s="42" t="n">
        <f aca="false">U55*V55</f>
        <v>0.786666666666667</v>
      </c>
      <c r="X55" s="42" t="n">
        <f aca="false">AO55/O55</f>
        <v>0.586666666666667</v>
      </c>
      <c r="Y55" s="42" t="n">
        <f aca="false">X55*U55</f>
        <v>0.586666666666667</v>
      </c>
      <c r="Z55" s="38" t="n">
        <v>91</v>
      </c>
      <c r="AA55" s="40" t="n">
        <v>18</v>
      </c>
      <c r="AB55" s="40" t="n">
        <v>19</v>
      </c>
      <c r="AC55" s="40" t="n">
        <v>19</v>
      </c>
      <c r="AD55" s="40" t="n">
        <v>19</v>
      </c>
      <c r="AE55" s="40" t="n">
        <f aca="false">SI(T55="Constante";PROMEDIO(AA55;AB55;AC55;AD55);SI(T55="Suma";SUMA(AA55;AB55;AC55;AD55);0))</f>
        <v>75</v>
      </c>
      <c r="AF55" s="40" t="n">
        <v>19</v>
      </c>
      <c r="AG55" s="40" t="n">
        <v>25</v>
      </c>
      <c r="AH55" s="43" t="n">
        <v>0</v>
      </c>
      <c r="AI55" s="44" t="n">
        <v>15</v>
      </c>
      <c r="AJ55" s="40" t="n">
        <f aca="false">SI(T55="Constante";PROMEDIO(AF55;AG55;AH55;AI55);SI(T55="Suma";SUMA(AF55;AG55;AH55;AI55);0))</f>
        <v>59</v>
      </c>
      <c r="AK55" s="40" t="n">
        <v>17</v>
      </c>
      <c r="AL55" s="43" t="n">
        <v>27</v>
      </c>
      <c r="AM55" s="45" t="n">
        <v>0</v>
      </c>
      <c r="AN55" s="45" t="n">
        <v>0</v>
      </c>
      <c r="AO55" s="40" t="n">
        <f aca="false">SI(T55="Constante";PROMEDIO(AK55;AL55;AM55;AN55);SI(T55="Suma";SUMA(AK55;AL55;AM55;AN55);0))</f>
        <v>44</v>
      </c>
      <c r="AP55" s="46" t="n">
        <v>233029642</v>
      </c>
      <c r="AQ55" s="46" t="n">
        <v>143692304</v>
      </c>
      <c r="AR55" s="46" t="n">
        <v>0</v>
      </c>
      <c r="AS55" s="47" t="n">
        <v>189046256</v>
      </c>
      <c r="AT55" s="46" t="n">
        <f aca="false">SUMA(AP55:AS55)</f>
        <v>565768202</v>
      </c>
      <c r="AU55" s="46" t="n">
        <v>0</v>
      </c>
      <c r="AV55" s="46" t="n">
        <v>7666624</v>
      </c>
      <c r="AW55" s="46" t="n">
        <v>0</v>
      </c>
      <c r="AX55" s="47" t="n">
        <v>0</v>
      </c>
      <c r="AY55" s="48" t="n">
        <f aca="false">SUMA(AU55:AX55)</f>
        <v>7666624</v>
      </c>
      <c r="AZ55" s="49"/>
      <c r="BA55" s="49"/>
      <c r="BB55" s="49" t="s">
        <v>65</v>
      </c>
      <c r="BC55" s="51"/>
    </row>
    <row collapsed="false" customFormat="true" customHeight="true" hidden="false" ht="37.5" outlineLevel="0" r="56" s="52">
      <c r="A56" s="34" t="n">
        <f aca="false">VLOOKUP(B56,['file:///Users/user/Downloads/10. MUSI BOSA CORTE 31 DE DICIEMBRE 2016_INSUMO CONTRALORIA.xls']Hoja2!$B$47:$C$66,2,0)</f>
        <v>7</v>
      </c>
      <c r="B56" s="35" t="s">
        <v>43</v>
      </c>
      <c r="C56" s="34" t="n">
        <f aca="false">VLOOKUP(D56,['file:///Users/user/Downloads/10. MUSI BOSA CORTE 31 DE DICIEMBRE 2016_INSUMO CONTRALORIA.xls']Hoja2!$B$8:$C$10,2,0)</f>
        <v>3</v>
      </c>
      <c r="D56" s="36" t="s">
        <v>290</v>
      </c>
      <c r="E56" s="34" t="n">
        <f aca="false">VLOOKUP(F56,['file:///Users/user/Downloads/10. MUSI BOSA CORTE 31 DE DICIEMBRE 2016_INSUMO CONTRALORIA.xls']Hoja2!$B$12:$C$40,2,0)</f>
        <v>24</v>
      </c>
      <c r="F56" s="36" t="s">
        <v>291</v>
      </c>
      <c r="G56" s="37" t="n">
        <v>377</v>
      </c>
      <c r="H56" s="36" t="s">
        <v>311</v>
      </c>
      <c r="I56" s="38" t="str">
        <f aca="false">VLOOKUP(J56,['file:///Users/user/Downloads/10. MUSI BOSA CORTE 31 DE DICIEMBRE 2016_INSUMO CONTRALORIA.xls']Hoja1!$D$81:$G$158,2,0)</f>
        <v>N/A</v>
      </c>
      <c r="J56" s="39" t="s">
        <v>196</v>
      </c>
      <c r="K56" s="38" t="n">
        <v>848</v>
      </c>
      <c r="L56" s="39" t="s">
        <v>294</v>
      </c>
      <c r="M56" s="38" t="n">
        <v>6</v>
      </c>
      <c r="N56" s="39" t="s">
        <v>312</v>
      </c>
      <c r="O56" s="40" t="n">
        <v>1</v>
      </c>
      <c r="P56" s="36" t="s">
        <v>313</v>
      </c>
      <c r="Q56" s="36" t="s">
        <v>314</v>
      </c>
      <c r="R56" s="39" t="str">
        <f aca="false">VLOOKUP(J56,['file:///Users/user/Downloads/10. MUSI BOSA CORTE 31 DE DICIEMBRE 2016_INSUMO CONTRALORIA.xls']Hoja1!$D$81:$G$158,4,0)</f>
        <v>N/A</v>
      </c>
      <c r="S56" s="39" t="str">
        <f aca="false">VLOOKUP(J56,['file:///Users/user/Downloads/10. MUSI BOSA CORTE 31 DE DICIEMBRE 2016_INSUMO CONTRALORIA.xls']Hoja1!$D$81:$G$158,3,0)</f>
        <v>N/A</v>
      </c>
      <c r="T56" s="35" t="s">
        <v>52</v>
      </c>
      <c r="U56" s="41" t="n">
        <v>1</v>
      </c>
      <c r="V56" s="42" t="n">
        <f aca="false">AJ56/O56</f>
        <v>1</v>
      </c>
      <c r="W56" s="42" t="n">
        <f aca="false">U56*V56</f>
        <v>1</v>
      </c>
      <c r="X56" s="42" t="n">
        <f aca="false">AO56/O56</f>
        <v>1</v>
      </c>
      <c r="Y56" s="42" t="n">
        <f aca="false">X56*U56</f>
        <v>1</v>
      </c>
      <c r="Z56" s="38" t="n">
        <v>0</v>
      </c>
      <c r="AA56" s="40" t="n">
        <v>1</v>
      </c>
      <c r="AB56" s="40" t="n">
        <v>0</v>
      </c>
      <c r="AC56" s="40" t="n">
        <v>0</v>
      </c>
      <c r="AD56" s="40" t="n">
        <v>0</v>
      </c>
      <c r="AE56" s="40" t="n">
        <f aca="false">SI(T56="Constante";PROMEDIO(AA56;AB56;AC56;AD56);SI(T56="Suma";SUMA(AA56;AB56;AC56;AD56);0))</f>
        <v>1</v>
      </c>
      <c r="AF56" s="40" t="n">
        <v>1</v>
      </c>
      <c r="AG56" s="40" t="n">
        <v>0</v>
      </c>
      <c r="AH56" s="43" t="n">
        <v>0</v>
      </c>
      <c r="AI56" s="44" t="n">
        <v>0</v>
      </c>
      <c r="AJ56" s="40" t="n">
        <f aca="false">SI(T56="Constante";PROMEDIO(AF56;AG56;AH56;AI56);SI(T56="Suma";SUMA(AF56;AG56;AH56;AI56);0))</f>
        <v>1</v>
      </c>
      <c r="AK56" s="40" t="n">
        <v>1</v>
      </c>
      <c r="AL56" s="43" t="n">
        <v>0</v>
      </c>
      <c r="AM56" s="45" t="n">
        <v>0</v>
      </c>
      <c r="AN56" s="45" t="n">
        <v>0</v>
      </c>
      <c r="AO56" s="40" t="n">
        <f aca="false">SI(T56="Constante";PROMEDIO(AK56;AL56;AM56;AN56);SI(T56="Suma";SUMA(AK56;AL56;AM56;AN56);0))</f>
        <v>1</v>
      </c>
      <c r="AP56" s="46" t="n">
        <v>3079952566</v>
      </c>
      <c r="AQ56" s="46" t="n">
        <v>0</v>
      </c>
      <c r="AR56" s="46" t="n">
        <v>0</v>
      </c>
      <c r="AS56" s="47" t="n">
        <v>0</v>
      </c>
      <c r="AT56" s="46" t="n">
        <f aca="false">SUMA(AP56:AS56)</f>
        <v>3079952566</v>
      </c>
      <c r="AU56" s="46" t="n">
        <v>215077847</v>
      </c>
      <c r="AV56" s="46" t="n">
        <v>0</v>
      </c>
      <c r="AW56" s="46" t="n">
        <v>0</v>
      </c>
      <c r="AX56" s="47" t="n">
        <v>0</v>
      </c>
      <c r="AY56" s="48" t="n">
        <f aca="false">SUMA(AU56:AX56)</f>
        <v>215077847</v>
      </c>
      <c r="AZ56" s="49"/>
      <c r="BA56" s="49"/>
      <c r="BB56" s="49" t="s">
        <v>65</v>
      </c>
      <c r="BC56" s="51"/>
    </row>
    <row collapsed="false" customFormat="true" customHeight="true" hidden="false" ht="37.5" outlineLevel="0" r="57" s="52">
      <c r="A57" s="34" t="n">
        <f aca="false">VLOOKUP(B57,['file:///Users/user/Downloads/10. MUSI BOSA CORTE 31 DE DICIEMBRE 2016_INSUMO CONTRALORIA.xls']Hoja2!$B$47:$C$66,2,0)</f>
        <v>7</v>
      </c>
      <c r="B57" s="35" t="s">
        <v>43</v>
      </c>
      <c r="C57" s="34" t="n">
        <f aca="false">VLOOKUP(D57,['file:///Users/user/Downloads/10. MUSI BOSA CORTE 31 DE DICIEMBRE 2016_INSUMO CONTRALORIA.xls']Hoja2!$B$8:$C$10,2,0)</f>
        <v>3</v>
      </c>
      <c r="D57" s="36" t="s">
        <v>290</v>
      </c>
      <c r="E57" s="34" t="n">
        <f aca="false">VLOOKUP(F57,['file:///Users/user/Downloads/10. MUSI BOSA CORTE 31 DE DICIEMBRE 2016_INSUMO CONTRALORIA.xls']Hoja2!$B$12:$C$40,2,0)</f>
        <v>24</v>
      </c>
      <c r="F57" s="36" t="s">
        <v>291</v>
      </c>
      <c r="G57" s="37" t="n">
        <v>378</v>
      </c>
      <c r="H57" s="36" t="s">
        <v>315</v>
      </c>
      <c r="I57" s="38" t="str">
        <f aca="false">VLOOKUP(J57,['file:///Users/user/Downloads/10. MUSI BOSA CORTE 31 DE DICIEMBRE 2016_INSUMO CONTRALORIA.xls']Hoja1!$D$81:$G$158,2,0)</f>
        <v>N/A</v>
      </c>
      <c r="J57" s="39" t="s">
        <v>196</v>
      </c>
      <c r="K57" s="38" t="n">
        <v>848</v>
      </c>
      <c r="L57" s="39" t="s">
        <v>294</v>
      </c>
      <c r="M57" s="38" t="n">
        <v>8</v>
      </c>
      <c r="N57" s="39" t="s">
        <v>49</v>
      </c>
      <c r="O57" s="40" t="n">
        <v>1</v>
      </c>
      <c r="P57" s="36" t="s">
        <v>316</v>
      </c>
      <c r="Q57" s="36" t="s">
        <v>317</v>
      </c>
      <c r="R57" s="39" t="str">
        <f aca="false">VLOOKUP(J57,['file:///Users/user/Downloads/10. MUSI BOSA CORTE 31 DE DICIEMBRE 2016_INSUMO CONTRALORIA.xls']Hoja1!$D$81:$G$158,4,0)</f>
        <v>N/A</v>
      </c>
      <c r="S57" s="39" t="str">
        <f aca="false">VLOOKUP(J57,['file:///Users/user/Downloads/10. MUSI BOSA CORTE 31 DE DICIEMBRE 2016_INSUMO CONTRALORIA.xls']Hoja1!$D$81:$G$158,3,0)</f>
        <v>N/A</v>
      </c>
      <c r="T57" s="35" t="s">
        <v>52</v>
      </c>
      <c r="U57" s="41" t="n">
        <v>1</v>
      </c>
      <c r="V57" s="42" t="n">
        <f aca="false">AJ57/O57</f>
        <v>1</v>
      </c>
      <c r="W57" s="42" t="n">
        <f aca="false">U57*V57</f>
        <v>1</v>
      </c>
      <c r="X57" s="42" t="n">
        <f aca="false">AO57/O57</f>
        <v>1</v>
      </c>
      <c r="Y57" s="42" t="n">
        <f aca="false">X57*U57</f>
        <v>1</v>
      </c>
      <c r="Z57" s="38" t="n">
        <v>0</v>
      </c>
      <c r="AA57" s="40"/>
      <c r="AB57" s="40"/>
      <c r="AC57" s="40"/>
      <c r="AD57" s="40"/>
      <c r="AE57" s="40" t="n">
        <f aca="false">SI(T57="Constante";PROMEDIO(AA57;AB57;AC57;AD57);SI(T57="Suma";SUMA(AA57;AB57;AC57;AD57);0))</f>
        <v>0</v>
      </c>
      <c r="AF57" s="40" t="n">
        <v>0</v>
      </c>
      <c r="AG57" s="40" t="n">
        <v>1</v>
      </c>
      <c r="AH57" s="43" t="n">
        <v>0</v>
      </c>
      <c r="AI57" s="44" t="n">
        <v>0</v>
      </c>
      <c r="AJ57" s="40" t="n">
        <f aca="false">SI(T57="Constante";PROMEDIO(AF57;AG57;AH57;AI57);SI(T57="Suma";SUMA(AF57;AG57;AH57;AI57);0))</f>
        <v>1</v>
      </c>
      <c r="AK57" s="40" t="n">
        <v>0</v>
      </c>
      <c r="AL57" s="43" t="n">
        <v>1</v>
      </c>
      <c r="AM57" s="45" t="n">
        <v>0</v>
      </c>
      <c r="AN57" s="45" t="n">
        <v>0</v>
      </c>
      <c r="AO57" s="40" t="n">
        <f aca="false">SI(T57="Constante";PROMEDIO(AK57;AL57;AM57;AN57);SI(T57="Suma";SUMA(AK57;AL57;AM57;AN57);0))</f>
        <v>1</v>
      </c>
      <c r="AP57" s="46" t="n">
        <v>0</v>
      </c>
      <c r="AQ57" s="46" t="n">
        <v>290340064</v>
      </c>
      <c r="AR57" s="46" t="n">
        <v>0</v>
      </c>
      <c r="AS57" s="47" t="n">
        <v>0</v>
      </c>
      <c r="AT57" s="46" t="n">
        <f aca="false">SUMA(AP57:AS57)</f>
        <v>290340064</v>
      </c>
      <c r="AU57" s="46" t="n">
        <v>0</v>
      </c>
      <c r="AV57" s="46" t="n">
        <v>0</v>
      </c>
      <c r="AW57" s="46" t="n">
        <v>0</v>
      </c>
      <c r="AX57" s="47" t="n">
        <v>0</v>
      </c>
      <c r="AY57" s="48" t="n">
        <f aca="false">SUMA(AU57:AX57)</f>
        <v>0</v>
      </c>
      <c r="AZ57" s="49"/>
      <c r="BA57" s="49"/>
      <c r="BB57" s="49" t="s">
        <v>65</v>
      </c>
      <c r="BC57" s="51"/>
    </row>
    <row collapsed="false" customFormat="true" customHeight="true" hidden="false" ht="37.5" outlineLevel="0" r="58" s="52">
      <c r="A58" s="34" t="n">
        <f aca="false">VLOOKUP(B58,['file:///Users/user/Downloads/10. MUSI BOSA CORTE 31 DE DICIEMBRE 2016_INSUMO CONTRALORIA.xls']Hoja2!$B$47:$C$66,2,0)</f>
        <v>7</v>
      </c>
      <c r="B58" s="35" t="s">
        <v>43</v>
      </c>
      <c r="C58" s="34" t="n">
        <f aca="false">VLOOKUP(D58,['file:///Users/user/Downloads/10. MUSI BOSA CORTE 31 DE DICIEMBRE 2016_INSUMO CONTRALORIA.xls']Hoja2!$B$8:$C$10,2,0)</f>
        <v>3</v>
      </c>
      <c r="D58" s="36" t="s">
        <v>290</v>
      </c>
      <c r="E58" s="34" t="n">
        <f aca="false">VLOOKUP(F58,['file:///Users/user/Downloads/10. MUSI BOSA CORTE 31 DE DICIEMBRE 2016_INSUMO CONTRALORIA.xls']Hoja2!$B$12:$C$40,2,0)</f>
        <v>24</v>
      </c>
      <c r="F58" s="36" t="s">
        <v>291</v>
      </c>
      <c r="G58" s="37" t="n">
        <v>379</v>
      </c>
      <c r="H58" s="36" t="s">
        <v>318</v>
      </c>
      <c r="I58" s="38" t="n">
        <f aca="false">VLOOKUP(J58,['file:///Users/user/Downloads/10. MUSI BOSA CORTE 31 DE DICIEMBRE 2016_INSUMO CONTRALORIA.xls']Hoja1!$D$81:$G$158,2,0)</f>
        <v>66</v>
      </c>
      <c r="J58" s="39" t="s">
        <v>319</v>
      </c>
      <c r="K58" s="38" t="n">
        <v>848</v>
      </c>
      <c r="L58" s="39" t="s">
        <v>294</v>
      </c>
      <c r="M58" s="38" t="n">
        <v>2</v>
      </c>
      <c r="N58" s="39" t="s">
        <v>320</v>
      </c>
      <c r="O58" s="40" t="n">
        <v>1</v>
      </c>
      <c r="P58" s="36" t="s">
        <v>321</v>
      </c>
      <c r="Q58" s="36" t="s">
        <v>322</v>
      </c>
      <c r="R58" s="39" t="str">
        <f aca="false">VLOOKUP(J58,['file:///Users/user/Downloads/10. MUSI BOSA CORTE 31 DE DICIEMBRE 2016_INSUMO CONTRALORIA.xls']Hoja1!$D$81:$G$158,4,0)</f>
        <v>5. GOBIERNO </v>
      </c>
      <c r="S58" s="39" t="str">
        <f aca="false">VLOOKUP(J58,['file:///Users/user/Downloads/10. MUSI BOSA CORTE 31 DE DICIEMBRE 2016_INSUMO CONTRALORIA.xls']Hoja1!$D$81:$G$158,3,0)</f>
        <v>Espacios y procesos de participación ciudadana fortalecidos </v>
      </c>
      <c r="T58" s="35" t="s">
        <v>52</v>
      </c>
      <c r="U58" s="41" t="n">
        <v>1</v>
      </c>
      <c r="V58" s="42" t="n">
        <f aca="false">AJ58/O58</f>
        <v>1</v>
      </c>
      <c r="W58" s="42" t="n">
        <f aca="false">U58*V58</f>
        <v>1</v>
      </c>
      <c r="X58" s="42" t="n">
        <f aca="false">AO58/O58</f>
        <v>1</v>
      </c>
      <c r="Y58" s="42" t="n">
        <f aca="false">X58*U58</f>
        <v>1</v>
      </c>
      <c r="Z58" s="38" t="n">
        <v>1</v>
      </c>
      <c r="AA58" s="40" t="n">
        <v>1</v>
      </c>
      <c r="AB58" s="40" t="n">
        <v>0</v>
      </c>
      <c r="AC58" s="40" t="n">
        <v>0</v>
      </c>
      <c r="AD58" s="40" t="n">
        <v>0</v>
      </c>
      <c r="AE58" s="40" t="n">
        <f aca="false">SI(T58="Constante";PROMEDIO(AA58;AB58;AC58;AD58);SI(T58="Suma";SUMA(AA58;AB58;AC58;AD58);0))</f>
        <v>1</v>
      </c>
      <c r="AF58" s="40" t="n">
        <v>0</v>
      </c>
      <c r="AG58" s="40" t="n">
        <v>1</v>
      </c>
      <c r="AH58" s="43" t="n">
        <v>0</v>
      </c>
      <c r="AI58" s="44" t="n">
        <v>0</v>
      </c>
      <c r="AJ58" s="40" t="n">
        <f aca="false">SI(T58="Constante";PROMEDIO(AF58;AG58;AH58;AI58);SI(T58="Suma";SUMA(AF58;AG58;AH58;AI58);0))</f>
        <v>1</v>
      </c>
      <c r="AK58" s="40" t="n">
        <v>0</v>
      </c>
      <c r="AL58" s="43" t="n">
        <v>1</v>
      </c>
      <c r="AM58" s="45" t="n">
        <v>0</v>
      </c>
      <c r="AN58" s="45" t="n">
        <v>0</v>
      </c>
      <c r="AO58" s="40" t="n">
        <f aca="false">SI(T58="Constante";PROMEDIO(AK58;AL58;AM58;AN58);SI(T58="Suma";SUMA(AK58;AL58;AM58;AN58);0))</f>
        <v>1</v>
      </c>
      <c r="AP58" s="46" t="n">
        <v>0</v>
      </c>
      <c r="AQ58" s="46" t="n">
        <v>179998496</v>
      </c>
      <c r="AR58" s="46" t="n">
        <v>0</v>
      </c>
      <c r="AS58" s="47" t="n">
        <v>0</v>
      </c>
      <c r="AT58" s="46" t="n">
        <f aca="false">SUMA(AP58:AS58)</f>
        <v>179998496</v>
      </c>
      <c r="AU58" s="46" t="n">
        <v>0</v>
      </c>
      <c r="AV58" s="46" t="n">
        <v>0</v>
      </c>
      <c r="AW58" s="46" t="n">
        <v>0</v>
      </c>
      <c r="AX58" s="47" t="n">
        <v>0</v>
      </c>
      <c r="AY58" s="48" t="n">
        <f aca="false">SUMA(AU58:AX58)</f>
        <v>0</v>
      </c>
      <c r="AZ58" s="49"/>
      <c r="BA58" s="49"/>
      <c r="BB58" s="49" t="s">
        <v>65</v>
      </c>
      <c r="BC58" s="51"/>
    </row>
    <row collapsed="false" customFormat="true" customHeight="true" hidden="false" ht="37.5" outlineLevel="0" r="59" s="52">
      <c r="A59" s="34" t="n">
        <f aca="false">VLOOKUP(B59,['file:///Users/user/Downloads/10. MUSI BOSA CORTE 31 DE DICIEMBRE 2016_INSUMO CONTRALORIA.xls']Hoja2!$B$47:$C$66,2,0)</f>
        <v>7</v>
      </c>
      <c r="B59" s="35" t="s">
        <v>43</v>
      </c>
      <c r="C59" s="34" t="n">
        <f aca="false">VLOOKUP(D59,['file:///Users/user/Downloads/10. MUSI BOSA CORTE 31 DE DICIEMBRE 2016_INSUMO CONTRALORIA.xls']Hoja2!$B$8:$C$10,2,0)</f>
        <v>3</v>
      </c>
      <c r="D59" s="36" t="s">
        <v>290</v>
      </c>
      <c r="E59" s="34" t="n">
        <f aca="false">VLOOKUP(F59,['file:///Users/user/Downloads/10. MUSI BOSA CORTE 31 DE DICIEMBRE 2016_INSUMO CONTRALORIA.xls']Hoja2!$B$12:$C$40,2,0)</f>
        <v>24</v>
      </c>
      <c r="F59" s="36" t="s">
        <v>291</v>
      </c>
      <c r="G59" s="37" t="n">
        <v>380</v>
      </c>
      <c r="H59" s="36" t="s">
        <v>323</v>
      </c>
      <c r="I59" s="38" t="n">
        <f aca="false">VLOOKUP(J59,['file:///Users/user/Downloads/10. MUSI BOSA CORTE 31 DE DICIEMBRE 2016_INSUMO CONTRALORIA.xls']Hoja1!$D$81:$G$158,2,0)</f>
        <v>62</v>
      </c>
      <c r="J59" s="39" t="s">
        <v>324</v>
      </c>
      <c r="K59" s="38" t="n">
        <v>848</v>
      </c>
      <c r="L59" s="39" t="s">
        <v>294</v>
      </c>
      <c r="M59" s="38" t="n">
        <v>5</v>
      </c>
      <c r="N59" s="39" t="s">
        <v>56</v>
      </c>
      <c r="O59" s="40" t="n">
        <v>2000</v>
      </c>
      <c r="P59" s="36" t="s">
        <v>325</v>
      </c>
      <c r="Q59" s="97" t="s">
        <v>326</v>
      </c>
      <c r="R59" s="39" t="str">
        <f aca="false">VLOOKUP(J59,['file:///Users/user/Downloads/10. MUSI BOSA CORTE 31 DE DICIEMBRE 2016_INSUMO CONTRALORIA.xls']Hoja1!$D$81:$G$158,4,0)</f>
        <v>10. SDIS</v>
      </c>
      <c r="S59" s="39" t="str">
        <f aca="false">VLOOKUP(J59,['file:///Users/user/Downloads/10. MUSI BOSA CORTE 31 DE DICIEMBRE 2016_INSUMO CONTRALORIA.xls']Hoja1!$D$81:$G$158,3,0)</f>
        <v>Espacios y procesos de participación ciudadana fortalecidos </v>
      </c>
      <c r="T59" s="35" t="s">
        <v>52</v>
      </c>
      <c r="U59" s="41" t="n">
        <v>1</v>
      </c>
      <c r="V59" s="42" t="n">
        <f aca="false">AJ59/O59</f>
        <v>0.9</v>
      </c>
      <c r="W59" s="42" t="n">
        <f aca="false">U59*V59</f>
        <v>0.9</v>
      </c>
      <c r="X59" s="42" t="n">
        <f aca="false">AO59/O59</f>
        <v>0.8</v>
      </c>
      <c r="Y59" s="42" t="n">
        <f aca="false">X59*U59</f>
        <v>0.8</v>
      </c>
      <c r="Z59" s="38" t="n">
        <v>0</v>
      </c>
      <c r="AA59" s="40" t="n">
        <v>500</v>
      </c>
      <c r="AB59" s="40" t="n">
        <v>500</v>
      </c>
      <c r="AC59" s="40" t="n">
        <v>500</v>
      </c>
      <c r="AD59" s="40" t="n">
        <v>500</v>
      </c>
      <c r="AE59" s="40" t="n">
        <f aca="false">SI(T59="Constante";PROMEDIO(AA59;AB59;AC59;AD59);SI(T59="Suma";SUMA(AA59;AB59;AC59;AD59);0))</f>
        <v>2000</v>
      </c>
      <c r="AF59" s="40" t="n">
        <f aca="false">250+250</f>
        <v>500</v>
      </c>
      <c r="AG59" s="40" t="n">
        <v>1250</v>
      </c>
      <c r="AH59" s="43" t="n">
        <v>50</v>
      </c>
      <c r="AI59" s="44" t="n">
        <v>0</v>
      </c>
      <c r="AJ59" s="40" t="n">
        <f aca="false">SI(T59="Constante";PROMEDIO(AF59;AG59;AH59;AI59);SI(T59="Suma";SUMA(AF59;AG59;AH59;AI59);0))</f>
        <v>1800</v>
      </c>
      <c r="AK59" s="40" t="n">
        <v>500</v>
      </c>
      <c r="AL59" s="43" t="n">
        <f aca="false">100+1000</f>
        <v>1100</v>
      </c>
      <c r="AM59" s="98" t="n">
        <v>0</v>
      </c>
      <c r="AN59" s="45" t="n">
        <v>0</v>
      </c>
      <c r="AO59" s="40" t="n">
        <f aca="false">SI(T59="Constante";PROMEDIO(AK59;AL59;AM59;AN59);SI(T59="Suma";SUMA(AK59;AL59;AM59;AN59);0))</f>
        <v>1600</v>
      </c>
      <c r="AP59" s="46" t="n">
        <v>235542241</v>
      </c>
      <c r="AQ59" s="46" t="n">
        <v>255575000</v>
      </c>
      <c r="AR59" s="46" t="n">
        <v>40318496</v>
      </c>
      <c r="AS59" s="47" t="n">
        <v>0</v>
      </c>
      <c r="AT59" s="46" t="n">
        <f aca="false">SUMA(AP59:AS59)</f>
        <v>531435737</v>
      </c>
      <c r="AU59" s="46" t="n">
        <f aca="false">24000000+96000000</f>
        <v>120000000</v>
      </c>
      <c r="AV59" s="46" t="n">
        <v>188180000</v>
      </c>
      <c r="AW59" s="46" t="n">
        <v>0</v>
      </c>
      <c r="AX59" s="47" t="n">
        <v>0</v>
      </c>
      <c r="AY59" s="48" t="n">
        <f aca="false">SUMA(AU59:AX59)</f>
        <v>308180000</v>
      </c>
      <c r="AZ59" s="49"/>
      <c r="BA59" s="49"/>
      <c r="BB59" s="49" t="s">
        <v>65</v>
      </c>
      <c r="BC59" s="51" t="s">
        <v>327</v>
      </c>
    </row>
    <row collapsed="false" customFormat="true" customHeight="true" hidden="false" ht="37.5" outlineLevel="0" r="60" s="52">
      <c r="A60" s="34" t="n">
        <f aca="false">VLOOKUP(B60,['file:///Users/user/Downloads/10. MUSI BOSA CORTE 31 DE DICIEMBRE 2016_INSUMO CONTRALORIA.xls']Hoja2!$B$47:$C$66,2,0)</f>
        <v>7</v>
      </c>
      <c r="B60" s="35" t="s">
        <v>43</v>
      </c>
      <c r="C60" s="34" t="n">
        <f aca="false">VLOOKUP(D60,['file:///Users/user/Downloads/10. MUSI BOSA CORTE 31 DE DICIEMBRE 2016_INSUMO CONTRALORIA.xls']Hoja2!$B$8:$C$10,2,0)</f>
        <v>3</v>
      </c>
      <c r="D60" s="36" t="s">
        <v>290</v>
      </c>
      <c r="E60" s="34" t="n">
        <f aca="false">VLOOKUP(F60,['file:///Users/user/Downloads/10. MUSI BOSA CORTE 31 DE DICIEMBRE 2016_INSUMO CONTRALORIA.xls']Hoja2!$B$12:$C$40,2,0)</f>
        <v>25</v>
      </c>
      <c r="F60" s="36" t="s">
        <v>328</v>
      </c>
      <c r="G60" s="37" t="n">
        <v>381</v>
      </c>
      <c r="H60" s="36" t="s">
        <v>329</v>
      </c>
      <c r="I60" s="38" t="n">
        <f aca="false">VLOOKUP(J60,['file:///Users/user/Downloads/10. MUSI BOSA CORTE 31 DE DICIEMBRE 2016_INSUMO CONTRALORIA.xls']Hoja1!$D$81:$G$158,2,0)</f>
        <v>69</v>
      </c>
      <c r="J60" s="39" t="s">
        <v>102</v>
      </c>
      <c r="K60" s="38" t="n">
        <v>850</v>
      </c>
      <c r="L60" s="39" t="s">
        <v>330</v>
      </c>
      <c r="M60" s="38" t="n">
        <v>2</v>
      </c>
      <c r="N60" s="39" t="s">
        <v>56</v>
      </c>
      <c r="O60" s="40" t="n">
        <v>1000</v>
      </c>
      <c r="P60" s="36" t="s">
        <v>63</v>
      </c>
      <c r="Q60" s="36" t="s">
        <v>331</v>
      </c>
      <c r="R60" s="39" t="str">
        <f aca="false">VLOOKUP(J60,['file:///Users/user/Downloads/10. MUSI BOSA CORTE 31 DE DICIEMBRE 2016_INSUMO CONTRALORIA.xls']Hoja1!$D$81:$G$158,4,0)</f>
        <v>5. GOBIERNO </v>
      </c>
      <c r="S60" s="39" t="str">
        <f aca="false">VLOOKUP(J60,['file:///Users/user/Downloads/10. MUSI BOSA CORTE 31 DE DICIEMBRE 2016_INSUMO CONTRALORIA.xls']Hoja1!$D$81:$G$158,3,0)</f>
        <v>Prevención, atención y gestión del conflicto en la localidad</v>
      </c>
      <c r="T60" s="35" t="s">
        <v>52</v>
      </c>
      <c r="U60" s="41" t="n">
        <v>1</v>
      </c>
      <c r="V60" s="42" t="n">
        <f aca="false">AJ60/O60</f>
        <v>2.035</v>
      </c>
      <c r="W60" s="42" t="n">
        <f aca="false">U60*V60</f>
        <v>2.035</v>
      </c>
      <c r="X60" s="42" t="n">
        <f aca="false">AO60/O60</f>
        <v>2.035</v>
      </c>
      <c r="Y60" s="42" t="n">
        <f aca="false">X60*U60</f>
        <v>2.035</v>
      </c>
      <c r="Z60" s="38" t="n">
        <v>0</v>
      </c>
      <c r="AA60" s="40" t="n">
        <v>250</v>
      </c>
      <c r="AB60" s="40" t="n">
        <v>250</v>
      </c>
      <c r="AC60" s="40" t="n">
        <v>250</v>
      </c>
      <c r="AD60" s="40" t="n">
        <v>250</v>
      </c>
      <c r="AE60" s="40" t="n">
        <f aca="false">SI(T60="Constante";PROMEDIO(AA60;AB60;AC60;AD60);SI(T60="Suma";SUMA(AA60;AB60;AC60;AD60);0))</f>
        <v>1000</v>
      </c>
      <c r="AF60" s="40" t="n">
        <v>2000</v>
      </c>
      <c r="AG60" s="40" t="n">
        <v>35</v>
      </c>
      <c r="AH60" s="43" t="n">
        <v>0</v>
      </c>
      <c r="AI60" s="44" t="n">
        <v>0</v>
      </c>
      <c r="AJ60" s="40" t="n">
        <f aca="false">SI(T60="Constante";PROMEDIO(AF60;AG60;AH60;AI60);SI(T60="Suma";SUMA(AF60;AG60;AH60;AI60);0))</f>
        <v>2035</v>
      </c>
      <c r="AK60" s="40" t="n">
        <v>2000</v>
      </c>
      <c r="AL60" s="43" t="n">
        <v>35</v>
      </c>
      <c r="AM60" s="45" t="n">
        <v>0</v>
      </c>
      <c r="AN60" s="45" t="n">
        <v>0</v>
      </c>
      <c r="AO60" s="40" t="n">
        <f aca="false">SI(T60="Constante";PROMEDIO(AK60;AL60;AM60;AN60);SI(T60="Suma";SUMA(AK60;AL60;AM60;AN60);0))</f>
        <v>2035</v>
      </c>
      <c r="AP60" s="46" t="n">
        <v>104288000</v>
      </c>
      <c r="AQ60" s="46" t="n">
        <v>186964459</v>
      </c>
      <c r="AR60" s="46" t="n">
        <v>0</v>
      </c>
      <c r="AS60" s="47" t="n">
        <v>0</v>
      </c>
      <c r="AT60" s="46" t="n">
        <f aca="false">SUMA(AP60:AS60)</f>
        <v>291252459</v>
      </c>
      <c r="AU60" s="46" t="n">
        <v>0</v>
      </c>
      <c r="AV60" s="46" t="n">
        <v>0</v>
      </c>
      <c r="AW60" s="46" t="n">
        <v>0</v>
      </c>
      <c r="AX60" s="47" t="n">
        <v>0</v>
      </c>
      <c r="AY60" s="48" t="n">
        <f aca="false">SUMA(AU60:AX60)</f>
        <v>0</v>
      </c>
      <c r="AZ60" s="49"/>
      <c r="BA60" s="49"/>
      <c r="BB60" s="49" t="s">
        <v>65</v>
      </c>
      <c r="BC60" s="51"/>
    </row>
    <row collapsed="false" customFormat="true" customHeight="true" hidden="false" ht="37.5" outlineLevel="0" r="61" s="52">
      <c r="A61" s="34" t="n">
        <f aca="false">VLOOKUP(B61,['file:///Users/user/Downloads/10. MUSI BOSA CORTE 31 DE DICIEMBRE 2016_INSUMO CONTRALORIA.xls']Hoja2!$B$47:$C$66,2,0)</f>
        <v>7</v>
      </c>
      <c r="B61" s="35" t="s">
        <v>43</v>
      </c>
      <c r="C61" s="34" t="n">
        <f aca="false">VLOOKUP(D61,['file:///Users/user/Downloads/10. MUSI BOSA CORTE 31 DE DICIEMBRE 2016_INSUMO CONTRALORIA.xls']Hoja2!$B$8:$C$10,2,0)</f>
        <v>3</v>
      </c>
      <c r="D61" s="36" t="s">
        <v>290</v>
      </c>
      <c r="E61" s="34" t="n">
        <f aca="false">VLOOKUP(F61,['file:///Users/user/Downloads/10. MUSI BOSA CORTE 31 DE DICIEMBRE 2016_INSUMO CONTRALORIA.xls']Hoja2!$B$12:$C$40,2,0)</f>
        <v>25</v>
      </c>
      <c r="F61" s="36" t="s">
        <v>328</v>
      </c>
      <c r="G61" s="37" t="n">
        <v>382</v>
      </c>
      <c r="H61" s="36" t="s">
        <v>332</v>
      </c>
      <c r="I61" s="38" t="n">
        <f aca="false">VLOOKUP(J61,['file:///Users/user/Downloads/10. MUSI BOSA CORTE 31 DE DICIEMBRE 2016_INSUMO CONTRALORIA.xls']Hoja1!$D$81:$G$158,2,0)</f>
        <v>69</v>
      </c>
      <c r="J61" s="39" t="s">
        <v>102</v>
      </c>
      <c r="K61" s="38" t="n">
        <v>850</v>
      </c>
      <c r="L61" s="39" t="s">
        <v>330</v>
      </c>
      <c r="M61" s="38" t="n">
        <v>3</v>
      </c>
      <c r="N61" s="39" t="s">
        <v>56</v>
      </c>
      <c r="O61" s="40" t="n">
        <v>1000</v>
      </c>
      <c r="P61" s="36" t="s">
        <v>63</v>
      </c>
      <c r="Q61" s="36" t="s">
        <v>333</v>
      </c>
      <c r="R61" s="39" t="str">
        <f aca="false">VLOOKUP(J61,['file:///Users/user/Downloads/10. MUSI BOSA CORTE 31 DE DICIEMBRE 2016_INSUMO CONTRALORIA.xls']Hoja1!$D$81:$G$158,4,0)</f>
        <v>5. GOBIERNO </v>
      </c>
      <c r="S61" s="39" t="str">
        <f aca="false">VLOOKUP(J61,['file:///Users/user/Downloads/10. MUSI BOSA CORTE 31 DE DICIEMBRE 2016_INSUMO CONTRALORIA.xls']Hoja1!$D$81:$G$158,3,0)</f>
        <v>Prevención, atención y gestión del conflicto en la localidad</v>
      </c>
      <c r="T61" s="35" t="s">
        <v>52</v>
      </c>
      <c r="U61" s="41" t="n">
        <v>1</v>
      </c>
      <c r="V61" s="42" t="n">
        <f aca="false">AJ61/O61</f>
        <v>1.55</v>
      </c>
      <c r="W61" s="42" t="n">
        <f aca="false">U61*V61</f>
        <v>1.55</v>
      </c>
      <c r="X61" s="42" t="n">
        <f aca="false">AO61/O61</f>
        <v>0.5</v>
      </c>
      <c r="Y61" s="42" t="n">
        <f aca="false">X61*U61</f>
        <v>0.5</v>
      </c>
      <c r="Z61" s="38" t="n">
        <v>0</v>
      </c>
      <c r="AA61" s="40" t="n">
        <v>250</v>
      </c>
      <c r="AB61" s="40" t="n">
        <v>250</v>
      </c>
      <c r="AC61" s="40" t="n">
        <v>250</v>
      </c>
      <c r="AD61" s="40" t="n">
        <v>250</v>
      </c>
      <c r="AE61" s="40" t="n">
        <f aca="false">SI(T61="Constante";PROMEDIO(AA61;AB61;AC61;AD61);SI(T61="Suma";SUMA(AA61;AB61;AC61;AD61);0))</f>
        <v>1000</v>
      </c>
      <c r="AF61" s="40" t="n">
        <v>250</v>
      </c>
      <c r="AG61" s="40" t="n">
        <v>250</v>
      </c>
      <c r="AH61" s="43" t="n">
        <v>0</v>
      </c>
      <c r="AI61" s="44" t="n">
        <v>1050</v>
      </c>
      <c r="AJ61" s="40" t="n">
        <f aca="false">SI(T61="Constante";PROMEDIO(AF61;AG61;AH61;AI61);SI(T61="Suma";SUMA(AF61;AG61;AH61;AI61);0))</f>
        <v>1550</v>
      </c>
      <c r="AK61" s="40" t="n">
        <v>250</v>
      </c>
      <c r="AL61" s="43" t="n">
        <v>250</v>
      </c>
      <c r="AM61" s="45" t="n">
        <v>0</v>
      </c>
      <c r="AN61" s="45" t="n">
        <v>0</v>
      </c>
      <c r="AO61" s="40" t="n">
        <f aca="false">SI(T61="Constante";PROMEDIO(AK61;AL61;AM61;AN61);SI(T61="Suma";SUMA(AK61;AL61;AM61;AN61);0))</f>
        <v>500</v>
      </c>
      <c r="AP61" s="46" t="n">
        <v>89801568</v>
      </c>
      <c r="AQ61" s="46" t="n">
        <v>79325541</v>
      </c>
      <c r="AR61" s="46" t="n">
        <v>0</v>
      </c>
      <c r="AS61" s="47" t="n">
        <v>137838539</v>
      </c>
      <c r="AT61" s="46" t="n">
        <f aca="false">SUMA(AP61:AS61)</f>
        <v>306965648</v>
      </c>
      <c r="AU61" s="46" t="n">
        <v>0</v>
      </c>
      <c r="AV61" s="46" t="n">
        <v>0</v>
      </c>
      <c r="AW61" s="46" t="n">
        <v>0</v>
      </c>
      <c r="AX61" s="47" t="n">
        <v>0</v>
      </c>
      <c r="AY61" s="48" t="n">
        <f aca="false">SUMA(AU61:AX61)</f>
        <v>0</v>
      </c>
      <c r="AZ61" s="49"/>
      <c r="BA61" s="49"/>
      <c r="BB61" s="49" t="s">
        <v>65</v>
      </c>
      <c r="BC61" s="51"/>
    </row>
    <row collapsed="false" customFormat="true" customHeight="true" hidden="false" ht="37.5" outlineLevel="0" r="62" s="52">
      <c r="A62" s="34" t="n">
        <f aca="false">VLOOKUP(B62,['file:///Users/user/Downloads/10. MUSI BOSA CORTE 31 DE DICIEMBRE 2016_INSUMO CONTRALORIA.xls']Hoja2!$B$47:$C$66,2,0)</f>
        <v>7</v>
      </c>
      <c r="B62" s="35" t="s">
        <v>43</v>
      </c>
      <c r="C62" s="34" t="n">
        <f aca="false">VLOOKUP(D62,['file:///Users/user/Downloads/10. MUSI BOSA CORTE 31 DE DICIEMBRE 2016_INSUMO CONTRALORIA.xls']Hoja2!$B$8:$C$10,2,0)</f>
        <v>3</v>
      </c>
      <c r="D62" s="36" t="s">
        <v>290</v>
      </c>
      <c r="E62" s="34" t="n">
        <f aca="false">VLOOKUP(F62,['file:///Users/user/Downloads/10. MUSI BOSA CORTE 31 DE DICIEMBRE 2016_INSUMO CONTRALORIA.xls']Hoja2!$B$12:$C$40,2,0)</f>
        <v>25</v>
      </c>
      <c r="F62" s="36" t="s">
        <v>328</v>
      </c>
      <c r="G62" s="37" t="n">
        <v>383</v>
      </c>
      <c r="H62" s="36" t="s">
        <v>334</v>
      </c>
      <c r="I62" s="38" t="n">
        <f aca="false">VLOOKUP(J62,['file:///Users/user/Downloads/10. MUSI BOSA CORTE 31 DE DICIEMBRE 2016_INSUMO CONTRALORIA.xls']Hoja1!$D$81:$G$158,2,0)</f>
        <v>68</v>
      </c>
      <c r="J62" s="39" t="s">
        <v>335</v>
      </c>
      <c r="K62" s="38" t="n">
        <v>850</v>
      </c>
      <c r="L62" s="39" t="s">
        <v>330</v>
      </c>
      <c r="M62" s="38" t="n">
        <v>1</v>
      </c>
      <c r="N62" s="39" t="s">
        <v>56</v>
      </c>
      <c r="O62" s="40" t="n">
        <v>1000</v>
      </c>
      <c r="P62" s="36" t="s">
        <v>63</v>
      </c>
      <c r="Q62" s="36" t="s">
        <v>336</v>
      </c>
      <c r="R62" s="39" t="str">
        <f aca="false">VLOOKUP(J62,['file:///Users/user/Downloads/10. MUSI BOSA CORTE 31 DE DICIEMBRE 2016_INSUMO CONTRALORIA.xls']Hoja1!$D$81:$G$158,4,0)</f>
        <v>5. GOBIERNO </v>
      </c>
      <c r="S62" s="39" t="str">
        <f aca="false">VLOOKUP(J62,['file:///Users/user/Downloads/10. MUSI BOSA CORTE 31 DE DICIEMBRE 2016_INSUMO CONTRALORIA.xls']Hoja1!$D$81:$G$158,3,0)</f>
        <v>Prevención, atención y gestión del conflicto en la localidad</v>
      </c>
      <c r="T62" s="35" t="s">
        <v>52</v>
      </c>
      <c r="U62" s="41" t="n">
        <v>1</v>
      </c>
      <c r="V62" s="42" t="n">
        <f aca="false">AJ62/O62</f>
        <v>4.25</v>
      </c>
      <c r="W62" s="42" t="n">
        <f aca="false">U62*V62</f>
        <v>4.25</v>
      </c>
      <c r="X62" s="42" t="n">
        <f aca="false">AO62/O62</f>
        <v>5.164</v>
      </c>
      <c r="Y62" s="42" t="n">
        <f aca="false">X62*U62</f>
        <v>5.164</v>
      </c>
      <c r="Z62" s="38" t="n">
        <v>0</v>
      </c>
      <c r="AA62" s="40" t="n">
        <v>250</v>
      </c>
      <c r="AB62" s="40" t="n">
        <v>250</v>
      </c>
      <c r="AC62" s="40" t="n">
        <v>250</v>
      </c>
      <c r="AD62" s="40" t="n">
        <v>250</v>
      </c>
      <c r="AE62" s="40" t="n">
        <f aca="false">SI(T62="Constante";PROMEDIO(AA62;AB62;AC62;AD62);SI(T62="Suma";SUMA(AA62;AB62;AC62;AD62);0))</f>
        <v>1000</v>
      </c>
      <c r="AF62" s="40" t="n">
        <v>2000</v>
      </c>
      <c r="AG62" s="40" t="n">
        <v>1000</v>
      </c>
      <c r="AH62" s="43" t="n">
        <v>1250</v>
      </c>
      <c r="AI62" s="44" t="n">
        <v>0</v>
      </c>
      <c r="AJ62" s="40" t="n">
        <f aca="false">SI(T62="Constante";PROMEDIO(AF62;AG62;AH62;AI62);SI(T62="Suma";SUMA(AF62;AG62;AH62;AI62);0))</f>
        <v>4250</v>
      </c>
      <c r="AK62" s="40" t="n">
        <v>2000</v>
      </c>
      <c r="AL62" s="43" t="n">
        <f aca="false">368+1771</f>
        <v>2139</v>
      </c>
      <c r="AM62" s="45" t="n">
        <f aca="false">783+242</f>
        <v>1025</v>
      </c>
      <c r="AN62" s="45" t="n">
        <v>0</v>
      </c>
      <c r="AO62" s="40" t="n">
        <f aca="false">SI(T62="Constante";PROMEDIO(AK62;AL62;AM62;AN62);SI(T62="Suma";SUMA(AK62;AL62;AM62;AN62);0))</f>
        <v>5164</v>
      </c>
      <c r="AP62" s="46" t="n">
        <v>95000000</v>
      </c>
      <c r="AQ62" s="46" t="n">
        <v>1157000000</v>
      </c>
      <c r="AR62" s="46" t="n">
        <v>1384000000</v>
      </c>
      <c r="AS62" s="47" t="n">
        <v>0</v>
      </c>
      <c r="AT62" s="46" t="n">
        <f aca="false">SUMA(AP62:AS62)</f>
        <v>2636000000</v>
      </c>
      <c r="AU62" s="46" t="n">
        <v>0</v>
      </c>
      <c r="AV62" s="46" t="n">
        <v>0</v>
      </c>
      <c r="AW62" s="46" t="n">
        <f aca="false">745360000</f>
        <v>745360000</v>
      </c>
      <c r="AX62" s="47" t="n">
        <v>0</v>
      </c>
      <c r="AY62" s="48" t="n">
        <f aca="false">SUMA(AU62:AX62)</f>
        <v>745360000</v>
      </c>
      <c r="AZ62" s="49"/>
      <c r="BA62" s="49"/>
      <c r="BB62" s="49" t="s">
        <v>207</v>
      </c>
      <c r="BC62" s="51"/>
    </row>
    <row collapsed="false" customFormat="true" customHeight="true" hidden="false" ht="37.5" outlineLevel="0" r="63" s="52">
      <c r="A63" s="34" t="n">
        <f aca="false">VLOOKUP(B63,['file:///Users/user/Downloads/10. MUSI BOSA CORTE 31 DE DICIEMBRE 2016_INSUMO CONTRALORIA.xls']Hoja2!$B$47:$C$66,2,0)</f>
        <v>7</v>
      </c>
      <c r="B63" s="35" t="s">
        <v>43</v>
      </c>
      <c r="C63" s="34" t="n">
        <f aca="false">VLOOKUP(D63,['file:///Users/user/Downloads/10. MUSI BOSA CORTE 31 DE DICIEMBRE 2016_INSUMO CONTRALORIA.xls']Hoja2!$B$8:$C$10,2,0)</f>
        <v>3</v>
      </c>
      <c r="D63" s="36" t="s">
        <v>290</v>
      </c>
      <c r="E63" s="34" t="n">
        <f aca="false">VLOOKUP(F63,['file:///Users/user/Downloads/10. MUSI BOSA CORTE 31 DE DICIEMBRE 2016_INSUMO CONTRALORIA.xls']Hoja2!$B$12:$C$40,2,0)</f>
        <v>29</v>
      </c>
      <c r="F63" s="36" t="s">
        <v>337</v>
      </c>
      <c r="G63" s="37" t="n">
        <v>384</v>
      </c>
      <c r="H63" s="36" t="s">
        <v>338</v>
      </c>
      <c r="I63" s="38" t="n">
        <f aca="false">VLOOKUP(J63,['file:///Users/user/Downloads/10. MUSI BOSA CORTE 31 DE DICIEMBRE 2016_INSUMO CONTRALORIA.xls']Hoja1!$D$81:$G$158,2,0)</f>
        <v>69</v>
      </c>
      <c r="J63" s="39" t="s">
        <v>102</v>
      </c>
      <c r="K63" s="38" t="n">
        <v>851</v>
      </c>
      <c r="L63" s="39" t="s">
        <v>339</v>
      </c>
      <c r="M63" s="38" t="n">
        <v>1</v>
      </c>
      <c r="N63" s="39" t="s">
        <v>56</v>
      </c>
      <c r="O63" s="40" t="n">
        <v>4000</v>
      </c>
      <c r="P63" s="36" t="s">
        <v>63</v>
      </c>
      <c r="Q63" s="36" t="s">
        <v>340</v>
      </c>
      <c r="R63" s="39" t="str">
        <f aca="false">VLOOKUP(J63,['file:///Users/user/Downloads/10. MUSI BOSA CORTE 31 DE DICIEMBRE 2016_INSUMO CONTRALORIA.xls']Hoja1!$D$81:$G$158,4,0)</f>
        <v>5. GOBIERNO </v>
      </c>
      <c r="S63" s="39" t="str">
        <f aca="false">VLOOKUP(J63,['file:///Users/user/Downloads/10. MUSI BOSA CORTE 31 DE DICIEMBRE 2016_INSUMO CONTRALORIA.xls']Hoja1!$D$81:$G$158,3,0)</f>
        <v>Prevención, atención y gestión del conflicto en la localidad</v>
      </c>
      <c r="T63" s="35" t="s">
        <v>52</v>
      </c>
      <c r="U63" s="41" t="n">
        <v>1</v>
      </c>
      <c r="V63" s="42" t="n">
        <f aca="false">AJ63/O63</f>
        <v>0.625</v>
      </c>
      <c r="W63" s="42" t="n">
        <f aca="false">U63*V63</f>
        <v>0.625</v>
      </c>
      <c r="X63" s="42" t="n">
        <f aca="false">AO63/O63</f>
        <v>0.375</v>
      </c>
      <c r="Y63" s="42" t="n">
        <f aca="false">X63*U63</f>
        <v>0.375</v>
      </c>
      <c r="Z63" s="38" t="n">
        <v>0</v>
      </c>
      <c r="AA63" s="40" t="n">
        <v>0</v>
      </c>
      <c r="AB63" s="40" t="n">
        <v>2000</v>
      </c>
      <c r="AC63" s="40" t="n">
        <v>1000</v>
      </c>
      <c r="AD63" s="40" t="n">
        <v>1000</v>
      </c>
      <c r="AE63" s="40" t="n">
        <f aca="false">SI(T63="Constante";PROMEDIO(AA63;AB63;AC63;AD63);SI(T63="Suma";SUMA(AA63;AB63;AC63;AD63);0))</f>
        <v>4000</v>
      </c>
      <c r="AF63" s="40" t="n">
        <v>0</v>
      </c>
      <c r="AG63" s="40" t="n">
        <v>1000</v>
      </c>
      <c r="AH63" s="43" t="n">
        <v>500</v>
      </c>
      <c r="AI63" s="44" t="n">
        <v>1000</v>
      </c>
      <c r="AJ63" s="40" t="n">
        <f aca="false">SI(T63="Constante";PROMEDIO(AF63;AG63;AH63;AI63);SI(T63="Suma";SUMA(AF63;AG63;AH63;AI63);0))</f>
        <v>2500</v>
      </c>
      <c r="AK63" s="40" t="n">
        <v>0</v>
      </c>
      <c r="AL63" s="43" t="n">
        <v>1000</v>
      </c>
      <c r="AM63" s="45" t="n">
        <v>500</v>
      </c>
      <c r="AN63" s="45" t="n">
        <v>0</v>
      </c>
      <c r="AO63" s="40" t="n">
        <f aca="false">SI(T63="Constante";PROMEDIO(AK63;AL63;AM63;AN63);SI(T63="Suma";SUMA(AK63;AL63;AM63;AN63);0))</f>
        <v>1500</v>
      </c>
      <c r="AP63" s="46" t="n">
        <v>0</v>
      </c>
      <c r="AQ63" s="46" t="n">
        <v>147750000</v>
      </c>
      <c r="AR63" s="46" t="n">
        <v>69653000</v>
      </c>
      <c r="AS63" s="47" t="n">
        <v>289359170</v>
      </c>
      <c r="AT63" s="46" t="n">
        <f aca="false">SUMA(AP63:AS63)</f>
        <v>506762170</v>
      </c>
      <c r="AU63" s="46" t="n">
        <v>0</v>
      </c>
      <c r="AV63" s="46" t="n">
        <v>0</v>
      </c>
      <c r="AW63" s="46" t="n">
        <v>69653000</v>
      </c>
      <c r="AX63" s="47" t="n">
        <v>0</v>
      </c>
      <c r="AY63" s="48" t="n">
        <f aca="false">SUMA(AU63:AX63)</f>
        <v>69653000</v>
      </c>
      <c r="AZ63" s="49"/>
      <c r="BA63" s="49"/>
      <c r="BB63" s="49" t="s">
        <v>65</v>
      </c>
      <c r="BC63" s="51"/>
    </row>
    <row collapsed="false" customFormat="true" customHeight="true" hidden="false" ht="37.5" outlineLevel="0" r="64" s="52">
      <c r="A64" s="34" t="n">
        <f aca="false">VLOOKUP(B64,['file:///Users/user/Downloads/10. MUSI BOSA CORTE 31 DE DICIEMBRE 2016_INSUMO CONTRALORIA.xls']Hoja2!$B$47:$C$66,2,0)</f>
        <v>7</v>
      </c>
      <c r="B64" s="35" t="s">
        <v>43</v>
      </c>
      <c r="C64" s="34" t="n">
        <f aca="false">VLOOKUP(D64,['file:///Users/user/Downloads/10. MUSI BOSA CORTE 31 DE DICIEMBRE 2016_INSUMO CONTRALORIA.xls']Hoja2!$B$8:$C$10,2,0)</f>
        <v>3</v>
      </c>
      <c r="D64" s="36" t="s">
        <v>290</v>
      </c>
      <c r="E64" s="34" t="n">
        <f aca="false">VLOOKUP(F64,['file:///Users/user/Downloads/10. MUSI BOSA CORTE 31 DE DICIEMBRE 2016_INSUMO CONTRALORIA.xls']Hoja2!$B$12:$C$40,2,0)</f>
        <v>30</v>
      </c>
      <c r="F64" s="36" t="s">
        <v>341</v>
      </c>
      <c r="G64" s="37" t="n">
        <v>385</v>
      </c>
      <c r="H64" s="36" t="s">
        <v>342</v>
      </c>
      <c r="I64" s="38" t="n">
        <f aca="false">VLOOKUP(J64,['file:///Users/user/Downloads/10. MUSI BOSA CORTE 31 DE DICIEMBRE 2016_INSUMO CONTRALORIA.xls']Hoja1!$D$81:$G$158,2,0)</f>
        <v>67</v>
      </c>
      <c r="J64" s="39" t="s">
        <v>343</v>
      </c>
      <c r="K64" s="38" t="n">
        <v>852</v>
      </c>
      <c r="L64" s="39" t="s">
        <v>344</v>
      </c>
      <c r="M64" s="38" t="n">
        <v>1</v>
      </c>
      <c r="N64" s="39" t="s">
        <v>56</v>
      </c>
      <c r="O64" s="40" t="n">
        <v>3400</v>
      </c>
      <c r="P64" s="36" t="s">
        <v>63</v>
      </c>
      <c r="Q64" s="36" t="s">
        <v>345</v>
      </c>
      <c r="R64" s="39" t="str">
        <f aca="false">VLOOKUP(J64,['file:///Users/user/Downloads/10. MUSI BOSA CORTE 31 DE DICIEMBRE 2016_INSUMO CONTRALORIA.xls']Hoja1!$D$81:$G$158,4,0)</f>
        <v>9. SALUD</v>
      </c>
      <c r="S64" s="39" t="str">
        <f aca="false">VLOOKUP(J64,['file:///Users/user/Downloads/10. MUSI BOSA CORTE 31 DE DICIEMBRE 2016_INSUMO CONTRALORIA.xls']Hoja1!$D$81:$G$158,3,0)</f>
        <v>Espacios y procesos de participación ciudadana fortalecidos </v>
      </c>
      <c r="T64" s="35" t="s">
        <v>52</v>
      </c>
      <c r="U64" s="41" t="n">
        <v>1</v>
      </c>
      <c r="V64" s="42" t="n">
        <f aca="false">AJ64/O64</f>
        <v>1.17441176470588</v>
      </c>
      <c r="W64" s="42" t="n">
        <f aca="false">U64*V64</f>
        <v>1.17441176470588</v>
      </c>
      <c r="X64" s="42" t="n">
        <f aca="false">AO64/O64</f>
        <v>1.54088235294118</v>
      </c>
      <c r="Y64" s="42" t="n">
        <f aca="false">X64*U64</f>
        <v>1.54088235294118</v>
      </c>
      <c r="Z64" s="38" t="n">
        <v>0</v>
      </c>
      <c r="AA64" s="40" t="n">
        <v>0</v>
      </c>
      <c r="AB64" s="40" t="n">
        <v>1700</v>
      </c>
      <c r="AC64" s="40" t="n">
        <v>850</v>
      </c>
      <c r="AD64" s="40" t="n">
        <v>850</v>
      </c>
      <c r="AE64" s="40" t="n">
        <f aca="false">SI(T64="Constante";PROMEDIO(AA64;AB64;AC64;AD64);SI(T64="Suma";SUMA(AA64;AB64;AC64;AD64);0))</f>
        <v>3400</v>
      </c>
      <c r="AF64" s="40" t="n">
        <v>0</v>
      </c>
      <c r="AG64" s="40" t="n">
        <v>1500</v>
      </c>
      <c r="AH64" s="43" t="n">
        <f aca="false">390+468+785+50</f>
        <v>1693</v>
      </c>
      <c r="AI64" s="44" t="n">
        <v>800</v>
      </c>
      <c r="AJ64" s="40" t="n">
        <f aca="false">SI(T64="Constante";PROMEDIO(AF64;AG64;AH64;AI64);SI(T64="Suma";SUMA(AF64;AG64;AH64;AI64);0))</f>
        <v>3993</v>
      </c>
      <c r="AK64" s="40" t="n">
        <v>0</v>
      </c>
      <c r="AL64" s="43" t="n">
        <f aca="false">1061+1055+700+730</f>
        <v>3546</v>
      </c>
      <c r="AM64" s="45" t="n">
        <v>1693</v>
      </c>
      <c r="AN64" s="45" t="n">
        <v>0</v>
      </c>
      <c r="AO64" s="40" t="n">
        <f aca="false">SI(T64="Constante";PROMEDIO(AK64;AL64;AM64;AN64);SI(T64="Suma";SUMA(AK64;AL64;AM64;AN64);0))</f>
        <v>5239</v>
      </c>
      <c r="AP64" s="46" t="n">
        <v>0</v>
      </c>
      <c r="AQ64" s="46" t="n">
        <v>309412415</v>
      </c>
      <c r="AR64" s="46" t="n">
        <v>149812500</v>
      </c>
      <c r="AS64" s="47" t="n">
        <v>204721166</v>
      </c>
      <c r="AT64" s="46" t="n">
        <f aca="false">SUMA(AP64:AS64)</f>
        <v>663946081</v>
      </c>
      <c r="AU64" s="46" t="n">
        <v>0</v>
      </c>
      <c r="AV64" s="46" t="n">
        <v>0</v>
      </c>
      <c r="AW64" s="46" t="n">
        <v>129112500</v>
      </c>
      <c r="AX64" s="47" t="n">
        <v>0</v>
      </c>
      <c r="AY64" s="48" t="n">
        <f aca="false">SUMA(AU64:AX64)</f>
        <v>129112500</v>
      </c>
      <c r="AZ64" s="55"/>
      <c r="BA64" s="55"/>
      <c r="BB64" s="49" t="s">
        <v>65</v>
      </c>
      <c r="BC64" s="51"/>
    </row>
    <row collapsed="false" customFormat="true" customHeight="true" hidden="false" ht="37.5" outlineLevel="0" r="65" s="52">
      <c r="A65" s="99" t="n">
        <f aca="false">VLOOKUP(B65,['file:///Users/user/Downloads/10. MUSI BOSA CORTE 31 DE DICIEMBRE 2016_INSUMO CONTRALORIA.xls']Hoja2!$B$47:$C$66,2,0)</f>
        <v>7</v>
      </c>
      <c r="B65" s="58" t="s">
        <v>43</v>
      </c>
      <c r="C65" s="99" t="n">
        <f aca="false">VLOOKUP(D65,['file:///Users/user/Downloads/10. MUSI BOSA CORTE 31 DE DICIEMBRE 2016_INSUMO CONTRALORIA.xls']Hoja2!$B$8:$C$10,2,0)</f>
        <v>3</v>
      </c>
      <c r="D65" s="100" t="s">
        <v>290</v>
      </c>
      <c r="E65" s="99" t="n">
        <f aca="false">VLOOKUP(F65,['file:///Users/user/Downloads/10. MUSI BOSA CORTE 31 DE DICIEMBRE 2016_INSUMO CONTRALORIA.xls']Hoja2!$B$12:$C$40,2,0)</f>
        <v>31</v>
      </c>
      <c r="F65" s="100" t="s">
        <v>346</v>
      </c>
      <c r="G65" s="101" t="n">
        <v>386</v>
      </c>
      <c r="H65" s="100" t="s">
        <v>347</v>
      </c>
      <c r="I65" s="61" t="n">
        <f aca="false">VLOOKUP(J65,['file:///Users/user/Downloads/10. MUSI BOSA CORTE 31 DE DICIEMBRE 2016_INSUMO CONTRALORIA.xls']Hoja1!$D$81:$G$158,2,0)</f>
        <v>75</v>
      </c>
      <c r="J65" s="57" t="s">
        <v>348</v>
      </c>
      <c r="K65" s="61" t="n">
        <v>853</v>
      </c>
      <c r="L65" s="57" t="s">
        <v>349</v>
      </c>
      <c r="M65" s="61" t="n">
        <v>1</v>
      </c>
      <c r="N65" s="57" t="s">
        <v>350</v>
      </c>
      <c r="O65" s="62" t="n">
        <v>9</v>
      </c>
      <c r="P65" s="100" t="s">
        <v>351</v>
      </c>
      <c r="Q65" s="100" t="s">
        <v>352</v>
      </c>
      <c r="R65" s="57" t="str">
        <f aca="false">VLOOKUP(J65,['file:///Users/user/Downloads/10. MUSI BOSA CORTE 31 DE DICIEMBRE 2016_INSUMO CONTRALORIA.xls']Hoja1!$D$81:$G$158,4,0)</f>
        <v>5. GOBIERNO </v>
      </c>
      <c r="S65" s="57" t="str">
        <f aca="false">VLOOKUP(J65,['file:///Users/user/Downloads/10. MUSI BOSA CORTE 31 DE DICIEMBRE 2016_INSUMO CONTRALORIA.xls']Hoja1!$D$81:$G$158,3,0)</f>
        <v>Fortalecimiento institucional</v>
      </c>
      <c r="T65" s="58" t="s">
        <v>85</v>
      </c>
      <c r="U65" s="59" t="n">
        <v>1</v>
      </c>
      <c r="V65" s="60" t="n">
        <f aca="false">AJ65/O65</f>
        <v>0.916666666666667</v>
      </c>
      <c r="W65" s="60" t="n">
        <f aca="false">U65*V65</f>
        <v>0.916666666666667</v>
      </c>
      <c r="X65" s="60" t="n">
        <f aca="false">AO65/O65</f>
        <v>0.916666666666667</v>
      </c>
      <c r="Y65" s="60" t="n">
        <f aca="false">X65*U65</f>
        <v>0.916666666666667</v>
      </c>
      <c r="Z65" s="61" t="n">
        <v>8</v>
      </c>
      <c r="AA65" s="62" t="n">
        <v>9</v>
      </c>
      <c r="AB65" s="62" t="n">
        <v>9</v>
      </c>
      <c r="AC65" s="62" t="n">
        <v>9</v>
      </c>
      <c r="AD65" s="62" t="n">
        <v>9</v>
      </c>
      <c r="AE65" s="62" t="n">
        <f aca="false">SI(T65="Constante";PROMEDIO(AA65;AB65;AC65;AD65);SI(T65="Suma";SUMA(AA65;AB65;AC65;AD65);0))</f>
        <v>9</v>
      </c>
      <c r="AF65" s="62" t="n">
        <v>8</v>
      </c>
      <c r="AG65" s="62" t="n">
        <v>8</v>
      </c>
      <c r="AH65" s="63" t="n">
        <v>8</v>
      </c>
      <c r="AI65" s="64" t="n">
        <v>9</v>
      </c>
      <c r="AJ65" s="62" t="n">
        <f aca="false">SI(T65="Constante";PROMEDIO(AF65;AG65;AH65;AI65);SI(T65="Suma";SUMA(AF65;AG65;AH65;AI65);0))</f>
        <v>8.25</v>
      </c>
      <c r="AK65" s="62" t="n">
        <v>8</v>
      </c>
      <c r="AL65" s="63" t="n">
        <v>8</v>
      </c>
      <c r="AM65" s="64" t="n">
        <v>8</v>
      </c>
      <c r="AN65" s="64" t="n">
        <v>9</v>
      </c>
      <c r="AO65" s="62" t="n">
        <f aca="false">SI(T65="Constante";PROMEDIO(AK65;AL65;AM65;AN65);SI(T65="Suma";SUMA(AK65;AL65;AM65;AN65);0))</f>
        <v>8.25</v>
      </c>
      <c r="AP65" s="49" t="n">
        <v>488045715</v>
      </c>
      <c r="AQ65" s="49" t="n">
        <v>508973108</v>
      </c>
      <c r="AR65" s="46" t="n">
        <v>529657971</v>
      </c>
      <c r="AS65" s="67" t="n">
        <v>642916265</v>
      </c>
      <c r="AT65" s="49" t="n">
        <f aca="false">SUMA(AP65:AS65)</f>
        <v>2169593059</v>
      </c>
      <c r="AU65" s="49" t="n">
        <v>488045715</v>
      </c>
      <c r="AV65" s="49" t="n">
        <v>508973108</v>
      </c>
      <c r="AW65" s="46" t="n">
        <v>529657971</v>
      </c>
      <c r="AX65" s="67" t="n">
        <v>642916265</v>
      </c>
      <c r="AY65" s="49" t="n">
        <f aca="false">SUMA(AU65:AX65)</f>
        <v>2169593059</v>
      </c>
      <c r="AZ65" s="49"/>
      <c r="BA65" s="49"/>
      <c r="BB65" s="49" t="s">
        <v>65</v>
      </c>
      <c r="BC65" s="68" t="s">
        <v>353</v>
      </c>
    </row>
    <row collapsed="false" customFormat="true" customHeight="true" hidden="false" ht="37.5" outlineLevel="0" r="66" s="52">
      <c r="A66" s="99" t="n">
        <f aca="false">VLOOKUP(B66,['file:///Users/user/Downloads/10. MUSI BOSA CORTE 31 DE DICIEMBRE 2016_INSUMO CONTRALORIA.xls']Hoja2!$B$47:$C$66,2,0)</f>
        <v>7</v>
      </c>
      <c r="B66" s="58" t="s">
        <v>43</v>
      </c>
      <c r="C66" s="99" t="n">
        <f aca="false">VLOOKUP(D66,['file:///Users/user/Downloads/10. MUSI BOSA CORTE 31 DE DICIEMBRE 2016_INSUMO CONTRALORIA.xls']Hoja2!$B$8:$C$10,2,0)</f>
        <v>3</v>
      </c>
      <c r="D66" s="100" t="s">
        <v>290</v>
      </c>
      <c r="E66" s="99" t="n">
        <f aca="false">VLOOKUP(F66,['file:///Users/user/Downloads/10. MUSI BOSA CORTE 31 DE DICIEMBRE 2016_INSUMO CONTRALORIA.xls']Hoja2!$B$12:$C$40,2,0)</f>
        <v>31</v>
      </c>
      <c r="F66" s="100" t="s">
        <v>346</v>
      </c>
      <c r="G66" s="101" t="n">
        <v>387</v>
      </c>
      <c r="H66" s="100" t="s">
        <v>354</v>
      </c>
      <c r="I66" s="61" t="n">
        <f aca="false">VLOOKUP(J66,['file:///Users/user/Downloads/10. MUSI BOSA CORTE 31 DE DICIEMBRE 2016_INSUMO CONTRALORIA.xls']Hoja1!$D$81:$G$158,2,0)</f>
        <v>76</v>
      </c>
      <c r="J66" s="57" t="s">
        <v>355</v>
      </c>
      <c r="K66" s="61" t="n">
        <v>853</v>
      </c>
      <c r="L66" s="57" t="s">
        <v>349</v>
      </c>
      <c r="M66" s="61" t="n">
        <v>2</v>
      </c>
      <c r="N66" s="57" t="s">
        <v>356</v>
      </c>
      <c r="O66" s="62" t="n">
        <v>1</v>
      </c>
      <c r="P66" s="100" t="s">
        <v>357</v>
      </c>
      <c r="Q66" s="100" t="s">
        <v>358</v>
      </c>
      <c r="R66" s="57" t="str">
        <f aca="false">VLOOKUP(J66,['file:///Users/user/Downloads/10. MUSI BOSA CORTE 31 DE DICIEMBRE 2016_INSUMO CONTRALORIA.xls']Hoja1!$D$81:$G$158,4,0)</f>
        <v>5. GOBIERNO </v>
      </c>
      <c r="S66" s="57" t="str">
        <f aca="false">VLOOKUP(J66,['file:///Users/user/Downloads/10. MUSI BOSA CORTE 31 DE DICIEMBRE 2016_INSUMO CONTRALORIA.xls']Hoja1!$D$81:$G$158,3,0)</f>
        <v>Fortalecimiento institucional</v>
      </c>
      <c r="T66" s="58" t="s">
        <v>85</v>
      </c>
      <c r="U66" s="59" t="n">
        <v>1</v>
      </c>
      <c r="V66" s="60" t="n">
        <f aca="false">AJ66/O66</f>
        <v>1</v>
      </c>
      <c r="W66" s="60" t="n">
        <f aca="false">U66*V66</f>
        <v>1</v>
      </c>
      <c r="X66" s="60" t="n">
        <f aca="false">AO66/O66</f>
        <v>1</v>
      </c>
      <c r="Y66" s="60" t="n">
        <f aca="false">X66*U66</f>
        <v>1</v>
      </c>
      <c r="Z66" s="61" t="n">
        <v>1</v>
      </c>
      <c r="AA66" s="62" t="n">
        <v>1</v>
      </c>
      <c r="AB66" s="62" t="n">
        <v>1</v>
      </c>
      <c r="AC66" s="62" t="n">
        <v>1</v>
      </c>
      <c r="AD66" s="62" t="n">
        <v>1</v>
      </c>
      <c r="AE66" s="62" t="n">
        <f aca="false">SI(T66="Constante";PROMEDIO(AA66;AB66;AC66;AD66);SI(T66="Suma";SUMA(AA66;AB66;AC66;AD66);0))</f>
        <v>1</v>
      </c>
      <c r="AF66" s="62" t="n">
        <v>1</v>
      </c>
      <c r="AG66" s="62" t="n">
        <v>1</v>
      </c>
      <c r="AH66" s="63" t="n">
        <v>1</v>
      </c>
      <c r="AI66" s="64" t="n">
        <v>1</v>
      </c>
      <c r="AJ66" s="62" t="n">
        <f aca="false">SI(T66="Constante";PROMEDIO(AF66;AG66;AH66;AI66);SI(T66="Suma";SUMA(AF66;AG66;AH66;AI66);0))</f>
        <v>1</v>
      </c>
      <c r="AK66" s="62" t="n">
        <v>1</v>
      </c>
      <c r="AL66" s="63" t="n">
        <v>1</v>
      </c>
      <c r="AM66" s="64" t="n">
        <v>1</v>
      </c>
      <c r="AN66" s="64" t="n">
        <v>1</v>
      </c>
      <c r="AO66" s="102" t="n">
        <f aca="false">SI(T66="Constante";PROMEDIO(AK66;AL66;AM66;AN66);SI(T66="Suma";SUMA(AK66;AL66;AM66;AN66);0))</f>
        <v>1</v>
      </c>
      <c r="AP66" s="49" t="n">
        <v>2775865708</v>
      </c>
      <c r="AQ66" s="49" t="n">
        <v>2670552632</v>
      </c>
      <c r="AR66" s="49" t="n">
        <v>2529744368</v>
      </c>
      <c r="AS66" s="67" t="n">
        <f aca="false">3124452235-AS65</f>
        <v>2481535970</v>
      </c>
      <c r="AT66" s="49" t="n">
        <f aca="false">SUMA(AP66:AS66)</f>
        <v>10457698678</v>
      </c>
      <c r="AU66" s="49" t="n">
        <v>1278219999</v>
      </c>
      <c r="AV66" s="49" t="n">
        <v>1160809538</v>
      </c>
      <c r="AW66" s="49" t="n">
        <v>1638373351</v>
      </c>
      <c r="AX66" s="67" t="n">
        <f aca="false">1969290414-AX65</f>
        <v>1326374149</v>
      </c>
      <c r="AY66" s="49" t="n">
        <f aca="false">SUMA(AU66:AX66)</f>
        <v>5403777037</v>
      </c>
      <c r="AZ66" s="49"/>
      <c r="BA66" s="49"/>
      <c r="BB66" s="49" t="s">
        <v>65</v>
      </c>
      <c r="BC66" s="68" t="s">
        <v>353</v>
      </c>
    </row>
    <row collapsed="false" customFormat="false" customHeight="true" hidden="false" ht="15" outlineLevel="0" r="73"/>
  </sheetData>
  <mergeCells count="8">
    <mergeCell ref="A1:S1"/>
    <mergeCell ref="T1:Z1"/>
    <mergeCell ref="AA1:AE1"/>
    <mergeCell ref="AF1:AJ1"/>
    <mergeCell ref="AK1:AO1"/>
    <mergeCell ref="AP1:AT1"/>
    <mergeCell ref="AU1:AY1"/>
    <mergeCell ref="AZ1:BA1"/>
  </mergeCells>
  <dataValidations count="6">
    <dataValidation allowBlank="true" operator="between" showDropDown="false" showErrorMessage="true" showInputMessage="true" sqref="BB3:BB66 KX3:KX66 UT3:UT66 AEP3:AEP66" type="list">
      <formula1>TEMASPRIORITARIOS</formula1>
      <formula2>0</formula2>
    </dataValidation>
    <dataValidation allowBlank="true" operator="between" showDropDown="false" showErrorMessage="true" showInputMessage="false" sqref="D3:D66 IZ3:IZ66 SV3:SV66 ACR3:ACR66" type="list">
      <formula1>EJES</formula1>
      <formula2>0</formula2>
    </dataValidation>
    <dataValidation allowBlank="true" operator="between" showDropDown="false" showErrorMessage="true" showInputMessage="false" sqref="B3:B66 IX3:IX66 ST3:ST66 ACP3:ACP66" type="list">
      <formula1>LOCALIDADES</formula1>
      <formula2>0</formula2>
    </dataValidation>
    <dataValidation allowBlank="true" operator="between" showDropDown="false" showErrorMessage="true" showInputMessage="false" sqref="J3:J66 JF3:JF66 TB3:TB66 ACX3:ACX66" type="list">
      <formula1>INDICADORAGREGADO</formula1>
      <formula2>0</formula2>
    </dataValidation>
    <dataValidation allowBlank="true" operator="between" showDropDown="false" showErrorMessage="true" showInputMessage="false" sqref="F3:F66 JB3:JB66 SX3:SX66 ACT3:ACT66" type="list">
      <formula1>INDIRECT(#REF!)</formula1>
      <formula2>0</formula2>
    </dataValidation>
    <dataValidation allowBlank="true" operator="between" showDropDown="false" showErrorMessage="true" showInputMessage="false" sqref="T3:T66 JP3:JP66 TL3:TL66 ADH3:ADH66" type="list">
      <formula1>TIPOMETA</formula1>
      <formula2>0</formula2>
    </dataValidation>
  </dataValidations>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A1:BF73"/>
  <sheetViews>
    <sheetView colorId="64" defaultGridColor="true" rightToLeft="false" showFormulas="false" showGridLines="true" showOutlineSymbols="true" showRowColHeaders="true" showZeros="true" tabSelected="true" topLeftCell="F1" view="normal" windowProtection="false" workbookViewId="0" zoomScale="100" zoomScaleNormal="100" zoomScalePageLayoutView="100">
      <selection activeCell="D7" activeCellId="0" pane="topLeft" sqref="D7"/>
    </sheetView>
  </sheetViews>
  <sheetFormatPr defaultRowHeight="12.75"/>
  <cols>
    <col collapsed="false" hidden="true" max="1" min="1" style="1" width="0"/>
    <col collapsed="false" hidden="true" max="2" min="2" style="2" width="0"/>
    <col collapsed="false" hidden="true" max="3" min="3" style="1" width="0"/>
    <col collapsed="false" hidden="false" max="4" min="4" style="1" width="42.7125506072875"/>
    <col collapsed="false" hidden="false" max="5" min="5" style="3" width="10.995951417004"/>
    <col collapsed="false" hidden="false" max="6" min="6" style="1" width="10.995951417004"/>
    <col collapsed="false" hidden="false" max="7" min="7" style="3" width="10.995951417004"/>
    <col collapsed="false" hidden="false" max="8" min="8" style="4" width="10.995951417004"/>
    <col collapsed="false" hidden="false" max="9" min="9" style="5" width="10.995951417004"/>
    <col collapsed="false" hidden="false" max="10" min="10" style="6" width="10.995951417004"/>
    <col collapsed="false" hidden="false" max="11" min="11" style="7" width="10.995951417004"/>
    <col collapsed="false" hidden="false" max="12" min="12" style="6" width="10.995951417004"/>
    <col collapsed="false" hidden="false" max="13" min="13" style="7" width="10.995951417004"/>
    <col collapsed="false" hidden="false" max="14" min="14" style="6" width="10.995951417004"/>
    <col collapsed="false" hidden="false" max="15" min="15" style="7" width="10.995951417004"/>
    <col collapsed="false" hidden="false" max="16" min="16" style="8" width="10.995951417004"/>
    <col collapsed="false" hidden="false" max="18" min="17" style="4" width="10.995951417004"/>
    <col collapsed="false" hidden="true" max="19" min="19" style="4" width="0"/>
    <col collapsed="false" hidden="false" max="20" min="20" style="7" width="10.995951417004"/>
    <col collapsed="false" hidden="true" max="27" min="21" style="6" width="0"/>
    <col collapsed="false" hidden="true" max="45" min="28" style="8" width="0"/>
    <col collapsed="false" hidden="false" max="46" min="46" style="8" width="15.1376518218623"/>
    <col collapsed="false" hidden="true" max="54" min="47" style="8" width="0"/>
    <col collapsed="false" hidden="true" max="55" min="55" style="9" width="0"/>
    <col collapsed="false" hidden="true" max="56" min="56" style="8" width="0"/>
    <col collapsed="false" hidden="false" max="257" min="57" style="2" width="10.995951417004"/>
    <col collapsed="false" hidden="true" max="260" min="258" style="2" width="0"/>
    <col collapsed="false" hidden="false" max="261" min="261" style="2" width="10.995951417004"/>
    <col collapsed="false" hidden="true" max="263" min="262" style="2" width="0"/>
    <col collapsed="false" hidden="false" max="265" min="264" style="2" width="10.995951417004"/>
    <col collapsed="false" hidden="true" max="266" min="266" style="2" width="0"/>
    <col collapsed="false" hidden="false" max="269" min="267" style="2" width="10.995951417004"/>
    <col collapsed="false" hidden="true" max="276" min="270" style="2" width="0"/>
    <col collapsed="false" hidden="false" max="277" min="277" style="2" width="10.995951417004"/>
    <col collapsed="false" hidden="true" max="314" min="278" style="2" width="0"/>
    <col collapsed="false" hidden="false" max="513" min="315" style="2" width="10.995951417004"/>
    <col collapsed="false" hidden="true" max="516" min="514" style="2" width="0"/>
    <col collapsed="false" hidden="false" max="517" min="517" style="2" width="10.995951417004"/>
    <col collapsed="false" hidden="true" max="519" min="518" style="2" width="0"/>
    <col collapsed="false" hidden="false" max="521" min="520" style="2" width="10.995951417004"/>
    <col collapsed="false" hidden="true" max="522" min="522" style="2" width="0"/>
    <col collapsed="false" hidden="false" max="525" min="523" style="2" width="10.995951417004"/>
    <col collapsed="false" hidden="true" max="532" min="526" style="2" width="0"/>
    <col collapsed="false" hidden="false" max="533" min="533" style="2" width="10.995951417004"/>
    <col collapsed="false" hidden="true" max="570" min="534" style="2" width="0"/>
    <col collapsed="false" hidden="false" max="769" min="571" style="2" width="10.995951417004"/>
    <col collapsed="false" hidden="true" max="772" min="770" style="2" width="0"/>
    <col collapsed="false" hidden="false" max="773" min="773" style="2" width="10.995951417004"/>
    <col collapsed="false" hidden="true" max="775" min="774" style="2" width="0"/>
    <col collapsed="false" hidden="false" max="777" min="776" style="2" width="10.995951417004"/>
    <col collapsed="false" hidden="true" max="778" min="778" style="2" width="0"/>
    <col collapsed="false" hidden="false" max="781" min="779" style="2" width="10.995951417004"/>
    <col collapsed="false" hidden="true" max="788" min="782" style="2" width="0"/>
    <col collapsed="false" hidden="false" max="789" min="789" style="2" width="10.995951417004"/>
    <col collapsed="false" hidden="true" max="826" min="790" style="2" width="0"/>
    <col collapsed="false" hidden="false" max="1025" min="827" style="2" width="10.995951417004"/>
  </cols>
  <sheetData>
    <row collapsed="false" customFormat="true" customHeight="true" hidden="false" ht="23.25" outlineLevel="0" r="1" s="19">
      <c r="A1" s="10" t="s">
        <v>0</v>
      </c>
      <c r="B1" s="10"/>
      <c r="C1" s="10"/>
      <c r="D1" s="10"/>
      <c r="E1" s="10"/>
      <c r="F1" s="10"/>
      <c r="G1" s="10"/>
      <c r="H1" s="10"/>
      <c r="I1" s="10"/>
      <c r="J1" s="10"/>
      <c r="K1" s="10"/>
      <c r="L1" s="10"/>
      <c r="M1" s="10"/>
      <c r="N1" s="10"/>
      <c r="O1" s="10"/>
      <c r="P1" s="10"/>
      <c r="Q1" s="10"/>
      <c r="R1" s="10"/>
      <c r="S1" s="10"/>
      <c r="T1" s="10"/>
      <c r="U1" s="11" t="s">
        <v>1</v>
      </c>
      <c r="V1" s="11"/>
      <c r="W1" s="11"/>
      <c r="X1" s="11"/>
      <c r="Y1" s="11"/>
      <c r="Z1" s="11"/>
      <c r="AA1" s="11"/>
      <c r="AB1" s="12" t="s">
        <v>2</v>
      </c>
      <c r="AC1" s="12"/>
      <c r="AD1" s="12"/>
      <c r="AE1" s="12"/>
      <c r="AF1" s="12"/>
      <c r="AG1" s="13" t="s">
        <v>3</v>
      </c>
      <c r="AH1" s="13"/>
      <c r="AI1" s="13"/>
      <c r="AJ1" s="13"/>
      <c r="AK1" s="13"/>
      <c r="AL1" s="12" t="s">
        <v>4</v>
      </c>
      <c r="AM1" s="12"/>
      <c r="AN1" s="12"/>
      <c r="AO1" s="12"/>
      <c r="AP1" s="12"/>
      <c r="AQ1" s="14" t="s">
        <v>5</v>
      </c>
      <c r="AR1" s="14"/>
      <c r="AS1" s="14"/>
      <c r="AT1" s="14"/>
      <c r="AU1" s="14"/>
      <c r="AV1" s="15" t="s">
        <v>6</v>
      </c>
      <c r="AW1" s="15"/>
      <c r="AX1" s="15"/>
      <c r="AY1" s="15"/>
      <c r="AZ1" s="15"/>
      <c r="BA1" s="16" t="s">
        <v>7</v>
      </c>
      <c r="BB1" s="16"/>
      <c r="BC1" s="17"/>
      <c r="BD1" s="18"/>
    </row>
    <row collapsed="false" customFormat="true" customHeight="true" hidden="false" ht="54" outlineLevel="0" r="2" s="19">
      <c r="A2" s="18" t="s">
        <v>8</v>
      </c>
      <c r="B2" s="18" t="s">
        <v>9</v>
      </c>
      <c r="C2" s="20" t="s">
        <v>10</v>
      </c>
      <c r="D2" s="103" t="s">
        <v>11</v>
      </c>
      <c r="E2" s="104" t="s">
        <v>11</v>
      </c>
      <c r="F2" s="105" t="s">
        <v>12</v>
      </c>
      <c r="G2" s="104" t="s">
        <v>13</v>
      </c>
      <c r="H2" s="105" t="s">
        <v>14</v>
      </c>
      <c r="I2" s="105" t="s">
        <v>15</v>
      </c>
      <c r="J2" s="106" t="s">
        <v>16</v>
      </c>
      <c r="K2" s="106" t="s">
        <v>17</v>
      </c>
      <c r="L2" s="107" t="s">
        <v>18</v>
      </c>
      <c r="M2" s="108" t="s">
        <v>19</v>
      </c>
      <c r="N2" s="108" t="s">
        <v>20</v>
      </c>
      <c r="O2" s="109" t="s">
        <v>21</v>
      </c>
      <c r="P2" s="110" t="s">
        <v>22</v>
      </c>
      <c r="Q2" s="111" t="s">
        <v>23</v>
      </c>
      <c r="R2" s="111" t="s">
        <v>24</v>
      </c>
      <c r="S2" s="111" t="s">
        <v>25</v>
      </c>
      <c r="T2" s="111" t="s">
        <v>26</v>
      </c>
      <c r="U2" s="112" t="s">
        <v>27</v>
      </c>
      <c r="V2" s="27" t="s">
        <v>28</v>
      </c>
      <c r="W2" s="27" t="s">
        <v>29</v>
      </c>
      <c r="X2" s="26" t="s">
        <v>30</v>
      </c>
      <c r="Y2" s="27" t="s">
        <v>31</v>
      </c>
      <c r="Z2" s="26" t="s">
        <v>32</v>
      </c>
      <c r="AA2" s="26" t="s">
        <v>33</v>
      </c>
      <c r="AB2" s="28" t="n">
        <v>2013</v>
      </c>
      <c r="AC2" s="28" t="n">
        <v>2014</v>
      </c>
      <c r="AD2" s="28" t="n">
        <v>2015</v>
      </c>
      <c r="AE2" s="28" t="n">
        <v>2016</v>
      </c>
      <c r="AF2" s="28" t="s">
        <v>34</v>
      </c>
      <c r="AG2" s="25" t="n">
        <v>2013</v>
      </c>
      <c r="AH2" s="29" t="n">
        <v>2014</v>
      </c>
      <c r="AI2" s="30" t="n">
        <v>2015</v>
      </c>
      <c r="AJ2" s="25" t="n">
        <v>2016</v>
      </c>
      <c r="AK2" s="29" t="s">
        <v>35</v>
      </c>
      <c r="AL2" s="31" t="n">
        <v>2013</v>
      </c>
      <c r="AM2" s="31" t="n">
        <v>2014</v>
      </c>
      <c r="AN2" s="28" t="n">
        <v>2015</v>
      </c>
      <c r="AO2" s="28" t="n">
        <v>2016</v>
      </c>
      <c r="AP2" s="28" t="s">
        <v>36</v>
      </c>
      <c r="AQ2" s="25" t="n">
        <v>2013</v>
      </c>
      <c r="AR2" s="29" t="n">
        <v>2014</v>
      </c>
      <c r="AS2" s="30" t="n">
        <v>2015</v>
      </c>
      <c r="AT2" s="25" t="n">
        <v>2016</v>
      </c>
      <c r="AU2" s="25" t="s">
        <v>37</v>
      </c>
      <c r="AV2" s="28" t="n">
        <v>2013</v>
      </c>
      <c r="AW2" s="31" t="n">
        <v>2014</v>
      </c>
      <c r="AX2" s="28" t="n">
        <v>2015</v>
      </c>
      <c r="AY2" s="28" t="n">
        <v>2016</v>
      </c>
      <c r="AZ2" s="28" t="s">
        <v>38</v>
      </c>
      <c r="BA2" s="32" t="s">
        <v>39</v>
      </c>
      <c r="BB2" s="32" t="s">
        <v>40</v>
      </c>
      <c r="BC2" s="33" t="s">
        <v>41</v>
      </c>
      <c r="BD2" s="25" t="s">
        <v>42</v>
      </c>
    </row>
    <row collapsed="false" customFormat="true" customHeight="true" hidden="false" ht="37.5" outlineLevel="0" r="3" s="52">
      <c r="A3" s="34" t="n">
        <f aca="false">VLOOKUP(B3,['file:///Users/user/Downloads/10. MUSI BOSA CORTE 31 DE DICIEMBRE 2016_INSUMO CONTRALORIA.xls']Hoja2!$B$47:$C$66,2,0)</f>
        <v>7</v>
      </c>
      <c r="B3" s="35" t="s">
        <v>43</v>
      </c>
      <c r="C3" s="34" t="n">
        <f aca="false">VLOOKUP(E3,['file:///Users/user/Downloads/10. MUSI BOSA CORTE 31 DE DICIEMBRE 2016_INSUMO CONTRALORIA.xls']Hoja2!$B$8:$C$10,2,0)</f>
        <v>1</v>
      </c>
      <c r="D3" s="113" t="s">
        <v>359</v>
      </c>
      <c r="E3" s="36" t="s">
        <v>44</v>
      </c>
      <c r="F3" s="34" t="n">
        <f aca="false">VLOOKUP(G3,['file:///Users/user/Downloads/10. MUSI BOSA CORTE 31 DE DICIEMBRE 2016_INSUMO CONTRALORIA.xls']Hoja2!$B$12:$C$40,2,0)</f>
        <v>1</v>
      </c>
      <c r="G3" s="36" t="s">
        <v>45</v>
      </c>
      <c r="H3" s="37" t="n">
        <v>324</v>
      </c>
      <c r="I3" s="36" t="s">
        <v>46</v>
      </c>
      <c r="J3" s="38" t="n">
        <f aca="false">VLOOKUP(K3,['file:///Users/user/Downloads/10. MUSI BOSA CORTE 31 DE DICIEMBRE 2016_INSUMO CONTRALORIA.xls']Hoja1!$D$81:$G$158,2,0)</f>
        <v>2</v>
      </c>
      <c r="K3" s="39" t="s">
        <v>47</v>
      </c>
      <c r="L3" s="38" t="n">
        <v>1243</v>
      </c>
      <c r="M3" s="39" t="s">
        <v>48</v>
      </c>
      <c r="N3" s="38" t="n">
        <v>1</v>
      </c>
      <c r="O3" s="39" t="s">
        <v>49</v>
      </c>
      <c r="P3" s="40" t="n">
        <v>80</v>
      </c>
      <c r="Q3" s="36" t="s">
        <v>50</v>
      </c>
      <c r="R3" s="36" t="s">
        <v>51</v>
      </c>
      <c r="S3" s="39" t="str">
        <f aca="false">VLOOKUP(K3,['file:///Users/user/Downloads/10. MUSI BOSA CORTE 31 DE DICIEMBRE 2016_INSUMO CONTRALORIA.xls']Hoja1!$D$81:$G$158,4,0)</f>
        <v>10. SDIS</v>
      </c>
      <c r="T3" s="39" t="str">
        <f aca="false">VLOOKUP(K3,['file:///Users/user/Downloads/10. MUSI BOSA CORTE 31 DE DICIEMBRE 2016_INSUMO CONTRALORIA.xls']Hoja1!$D$81:$G$158,3,0)</f>
        <v>Adecuación , habilitación y dotación de jardines</v>
      </c>
      <c r="U3" s="35" t="s">
        <v>52</v>
      </c>
      <c r="V3" s="41" t="n">
        <v>1</v>
      </c>
      <c r="W3" s="42" t="n">
        <f aca="false">AK3/P3</f>
        <v>0.5</v>
      </c>
      <c r="X3" s="42" t="n">
        <f aca="false">V3*W3</f>
        <v>0.5</v>
      </c>
      <c r="Y3" s="42" t="n">
        <f aca="false">AP3/P3</f>
        <v>0.5</v>
      </c>
      <c r="Z3" s="42" t="n">
        <f aca="false">Y3*V3</f>
        <v>0.5</v>
      </c>
      <c r="AA3" s="38" t="n">
        <v>116</v>
      </c>
      <c r="AB3" s="40" t="n">
        <v>20</v>
      </c>
      <c r="AC3" s="40" t="n">
        <v>20</v>
      </c>
      <c r="AD3" s="40" t="n">
        <v>20</v>
      </c>
      <c r="AE3" s="40" t="n">
        <v>20</v>
      </c>
      <c r="AF3" s="40" t="n">
        <f aca="false">SI(U3="Constante";PROMEDIO(AB3;AC3;AD3;AE3);SI(U3="Suma";SUMA(AB3;AC3;AD3;AE3);0))</f>
        <v>80</v>
      </c>
      <c r="AG3" s="40" t="n">
        <v>20</v>
      </c>
      <c r="AH3" s="40" t="n">
        <v>20</v>
      </c>
      <c r="AI3" s="43" t="n">
        <v>0</v>
      </c>
      <c r="AJ3" s="44" t="n">
        <v>0</v>
      </c>
      <c r="AK3" s="40" t="n">
        <f aca="false">SI(U3="Constante";PROMEDIO(AG3;AH3;AI3;AJ3);SI(U3="Suma";SUMA(AG3;AH3;AI3;AJ3);0))</f>
        <v>40</v>
      </c>
      <c r="AL3" s="40" t="n">
        <v>20</v>
      </c>
      <c r="AM3" s="43" t="n">
        <v>20</v>
      </c>
      <c r="AN3" s="45" t="n">
        <v>0</v>
      </c>
      <c r="AO3" s="45" t="n">
        <v>0</v>
      </c>
      <c r="AP3" s="40" t="n">
        <f aca="false">SI(U3="Constante";PROMEDIO(AL3;AM3;AN3;AO3);SI(U3="Suma";SUMA(AL3;AM3;AN3;AO3);0))</f>
        <v>40</v>
      </c>
      <c r="AQ3" s="46" t="n">
        <v>998801813</v>
      </c>
      <c r="AR3" s="46" t="n">
        <v>999997030</v>
      </c>
      <c r="AS3" s="46" t="n">
        <v>0</v>
      </c>
      <c r="AT3" s="47" t="n">
        <v>0</v>
      </c>
      <c r="AU3" s="46" t="n">
        <f aca="false">SUMA(AQ3:AT3)</f>
        <v>1998798843</v>
      </c>
      <c r="AV3" s="46" t="n">
        <v>0</v>
      </c>
      <c r="AW3" s="46" t="n">
        <v>0</v>
      </c>
      <c r="AX3" s="46" t="n">
        <v>0</v>
      </c>
      <c r="AY3" s="47" t="n">
        <v>0</v>
      </c>
      <c r="AZ3" s="48" t="n">
        <f aca="false">SUMA(AV3:AY3)</f>
        <v>0</v>
      </c>
      <c r="BA3" s="49"/>
      <c r="BB3" s="49"/>
      <c r="BC3" s="50" t="s">
        <v>53</v>
      </c>
      <c r="BD3" s="51"/>
    </row>
    <row collapsed="false" customFormat="true" customHeight="true" hidden="false" ht="37.5" outlineLevel="0" r="4" s="52">
      <c r="A4" s="34" t="n">
        <f aca="false">VLOOKUP(B4,['file:///Users/user/Downloads/10. MUSI BOSA CORTE 31 DE DICIEMBRE 2016_INSUMO CONTRALORIA.xls']Hoja2!$B$47:$C$66,2,0)</f>
        <v>7</v>
      </c>
      <c r="B4" s="35" t="s">
        <v>43</v>
      </c>
      <c r="C4" s="34" t="n">
        <f aca="false">VLOOKUP(E4,['file:///Users/user/Downloads/10. MUSI BOSA CORTE 31 DE DICIEMBRE 2016_INSUMO CONTRALORIA.xls']Hoja2!$B$8:$C$10,2,0)</f>
        <v>1</v>
      </c>
      <c r="D4" s="113" t="s">
        <v>359</v>
      </c>
      <c r="E4" s="36" t="s">
        <v>44</v>
      </c>
      <c r="F4" s="34" t="n">
        <f aca="false">VLOOKUP(G4,['file:///Users/user/Downloads/10. MUSI BOSA CORTE 31 DE DICIEMBRE 2016_INSUMO CONTRALORIA.xls']Hoja2!$B$12:$C$40,2,0)</f>
        <v>1</v>
      </c>
      <c r="G4" s="36" t="s">
        <v>45</v>
      </c>
      <c r="H4" s="37" t="n">
        <v>325</v>
      </c>
      <c r="I4" s="36" t="s">
        <v>54</v>
      </c>
      <c r="J4" s="38" t="n">
        <f aca="false">VLOOKUP(K4,['file:///Users/user/Downloads/10. MUSI BOSA CORTE 31 DE DICIEMBRE 2016_INSUMO CONTRALORIA.xls']Hoja1!$D$81:$G$158,2,0)</f>
        <v>1</v>
      </c>
      <c r="K4" s="39" t="s">
        <v>55</v>
      </c>
      <c r="L4" s="38" t="n">
        <v>1243</v>
      </c>
      <c r="M4" s="39" t="s">
        <v>48</v>
      </c>
      <c r="N4" s="38" t="n">
        <v>2</v>
      </c>
      <c r="O4" s="39" t="s">
        <v>56</v>
      </c>
      <c r="P4" s="40" t="n">
        <v>16000</v>
      </c>
      <c r="Q4" s="36" t="s">
        <v>57</v>
      </c>
      <c r="R4" s="36" t="s">
        <v>58</v>
      </c>
      <c r="S4" s="39" t="str">
        <f aca="false">VLOOKUP(K4,['file:///Users/user/Downloads/10. MUSI BOSA CORTE 31 DE DICIEMBRE 2016_INSUMO CONTRALORIA.xls']Hoja1!$D$81:$G$158,4,0)</f>
        <v>10. SDIS</v>
      </c>
      <c r="T4" s="39" t="str">
        <f aca="false">VLOOKUP(K4,['file:///Users/user/Downloads/10. MUSI BOSA CORTE 31 DE DICIEMBRE 2016_INSUMO CONTRALORIA.xls']Hoja1!$D$81:$G$158,3,0)</f>
        <v>Protección integral a niños y niñas y adolescentes</v>
      </c>
      <c r="U4" s="35" t="s">
        <v>52</v>
      </c>
      <c r="V4" s="41" t="n">
        <v>1</v>
      </c>
      <c r="W4" s="42" t="n">
        <f aca="false">AK4/P4</f>
        <v>1</v>
      </c>
      <c r="X4" s="42" t="n">
        <f aca="false">V4*W4</f>
        <v>1</v>
      </c>
      <c r="Y4" s="42" t="n">
        <f aca="false">AP4/P4</f>
        <v>1.166375</v>
      </c>
      <c r="Z4" s="42" t="n">
        <f aca="false">Y4*V4</f>
        <v>1.166375</v>
      </c>
      <c r="AA4" s="38" t="n">
        <v>959</v>
      </c>
      <c r="AB4" s="40" t="n">
        <v>4000</v>
      </c>
      <c r="AC4" s="40" t="n">
        <v>4000</v>
      </c>
      <c r="AD4" s="40" t="n">
        <v>4000</v>
      </c>
      <c r="AE4" s="40" t="n">
        <v>4000</v>
      </c>
      <c r="AF4" s="40" t="n">
        <f aca="false">SI(U4="Constante";PROMEDIO(AB4;AC4;AD4;AE4);SI(U4="Suma";SUMA(AB4;AC4;AD4;AE4);0))</f>
        <v>16000</v>
      </c>
      <c r="AG4" s="40" t="n">
        <v>4000</v>
      </c>
      <c r="AH4" s="40" t="n">
        <v>4000</v>
      </c>
      <c r="AI4" s="43" t="n">
        <v>4000</v>
      </c>
      <c r="AJ4" s="44" t="n">
        <v>4000</v>
      </c>
      <c r="AK4" s="40" t="n">
        <f aca="false">SI(U4="Constante";PROMEDIO(AG4;AH4;AI4;AJ4);SI(U4="Suma";SUMA(AG4;AH4;AI4;AJ4);0))</f>
        <v>16000</v>
      </c>
      <c r="AL4" s="40" t="n">
        <v>6602</v>
      </c>
      <c r="AM4" s="43" t="n">
        <v>4840</v>
      </c>
      <c r="AN4" s="45" t="n">
        <v>7220</v>
      </c>
      <c r="AO4" s="45" t="n">
        <v>0</v>
      </c>
      <c r="AP4" s="40" t="n">
        <f aca="false">SI(U4="Constante";PROMEDIO(AL4;AM4;AN4;AO4);SI(U4="Suma";SUMA(AL4;AM4;AN4;AO4);0))</f>
        <v>18662</v>
      </c>
      <c r="AQ4" s="46" t="n">
        <v>800000000</v>
      </c>
      <c r="AR4" s="46" t="n">
        <v>995387500</v>
      </c>
      <c r="AS4" s="46" t="n">
        <f aca="false">952381000+36000000</f>
        <v>988381000</v>
      </c>
      <c r="AT4" s="47" t="n">
        <v>786322022</v>
      </c>
      <c r="AU4" s="46" t="n">
        <f aca="false">SUMA(AQ4:AT4)</f>
        <v>3570090522</v>
      </c>
      <c r="AV4" s="46" t="n">
        <v>151600000</v>
      </c>
      <c r="AW4" s="46" t="n">
        <v>693594125</v>
      </c>
      <c r="AX4" s="46" t="n">
        <v>867942900</v>
      </c>
      <c r="AY4" s="47" t="n">
        <v>0</v>
      </c>
      <c r="AZ4" s="48" t="n">
        <f aca="false">SUMA(AV4:AY4)</f>
        <v>1713137025</v>
      </c>
      <c r="BA4" s="49"/>
      <c r="BB4" s="49"/>
      <c r="BC4" s="50" t="s">
        <v>53</v>
      </c>
      <c r="BD4" s="51"/>
    </row>
    <row collapsed="false" customFormat="true" customHeight="true" hidden="false" ht="37.5" outlineLevel="0" r="5" s="52">
      <c r="A5" s="34" t="n">
        <f aca="false">VLOOKUP(B5,['file:///Users/user/Downloads/10. MUSI BOSA CORTE 31 DE DICIEMBRE 2016_INSUMO CONTRALORIA.xls']Hoja2!$B$47:$C$66,2,0)</f>
        <v>7</v>
      </c>
      <c r="B5" s="35" t="s">
        <v>43</v>
      </c>
      <c r="C5" s="34" t="n">
        <f aca="false">VLOOKUP(E5,['file:///Users/user/Downloads/10. MUSI BOSA CORTE 31 DE DICIEMBRE 2016_INSUMO CONTRALORIA.xls']Hoja2!$B$8:$C$10,2,0)</f>
        <v>1</v>
      </c>
      <c r="D5" s="113" t="s">
        <v>359</v>
      </c>
      <c r="E5" s="36" t="s">
        <v>44</v>
      </c>
      <c r="F5" s="34" t="n">
        <f aca="false">VLOOKUP(G5,['file:///Users/user/Downloads/10. MUSI BOSA CORTE 31 DE DICIEMBRE 2016_INSUMO CONTRALORIA.xls']Hoja2!$B$12:$C$40,2,0)</f>
        <v>2</v>
      </c>
      <c r="G5" s="36" t="s">
        <v>59</v>
      </c>
      <c r="H5" s="37" t="n">
        <v>326</v>
      </c>
      <c r="I5" s="36" t="s">
        <v>60</v>
      </c>
      <c r="J5" s="38" t="n">
        <f aca="false">VLOOKUP(K5,['file:///Users/user/Downloads/10. MUSI BOSA CORTE 31 DE DICIEMBRE 2016_INSUMO CONTRALORIA.xls']Hoja1!$D$81:$G$158,2,0)</f>
        <v>4</v>
      </c>
      <c r="K5" s="39" t="s">
        <v>61</v>
      </c>
      <c r="L5" s="38" t="n">
        <v>830</v>
      </c>
      <c r="M5" s="39" t="s">
        <v>62</v>
      </c>
      <c r="N5" s="38" t="n">
        <v>3</v>
      </c>
      <c r="O5" s="39" t="s">
        <v>56</v>
      </c>
      <c r="P5" s="40" t="n">
        <v>10000</v>
      </c>
      <c r="Q5" s="36" t="s">
        <v>63</v>
      </c>
      <c r="R5" s="36" t="s">
        <v>64</v>
      </c>
      <c r="S5" s="39" t="str">
        <f aca="false">VLOOKUP(K5,['file:///Users/user/Downloads/10. MUSI BOSA CORTE 31 DE DICIEMBRE 2016_INSUMO CONTRALORIA.xls']Hoja1!$D$81:$G$158,4,0)</f>
        <v>9. SALUD</v>
      </c>
      <c r="T5" s="39" t="str">
        <f aca="false">VLOOKUP(K5,['file:///Users/user/Downloads/10. MUSI BOSA CORTE 31 DE DICIEMBRE 2016_INSUMO CONTRALORIA.xls']Hoja1!$D$81:$G$158,3,0)</f>
        <v>Promoción, prevención e intervención en salud</v>
      </c>
      <c r="U5" s="35" t="s">
        <v>52</v>
      </c>
      <c r="V5" s="41" t="n">
        <v>1</v>
      </c>
      <c r="W5" s="42" t="n">
        <f aca="false">AK5/P5</f>
        <v>1.3402</v>
      </c>
      <c r="X5" s="42" t="n">
        <f aca="false">V5*W5</f>
        <v>1.3402</v>
      </c>
      <c r="Y5" s="42" t="n">
        <f aca="false">AP5/P5</f>
        <v>0.8097</v>
      </c>
      <c r="Z5" s="42" t="n">
        <f aca="false">Y5*V5</f>
        <v>0.8097</v>
      </c>
      <c r="AA5" s="38" t="n">
        <v>4176</v>
      </c>
      <c r="AB5" s="40" t="n">
        <v>2500</v>
      </c>
      <c r="AC5" s="40" t="n">
        <v>2500</v>
      </c>
      <c r="AD5" s="40" t="n">
        <v>2500</v>
      </c>
      <c r="AE5" s="40" t="n">
        <v>2500</v>
      </c>
      <c r="AF5" s="40" t="n">
        <f aca="false">SI(U5="Constante";PROMEDIO(AB5;AC5;AD5;AE5);SI(U5="Suma";SUMA(AB5;AC5;AD5;AE5);0))</f>
        <v>10000</v>
      </c>
      <c r="AG5" s="40" t="n">
        <v>2500</v>
      </c>
      <c r="AH5" s="40" t="n">
        <v>4200</v>
      </c>
      <c r="AI5" s="43" t="n">
        <v>4800</v>
      </c>
      <c r="AJ5" s="44" t="n">
        <v>1902</v>
      </c>
      <c r="AK5" s="40" t="n">
        <f aca="false">SI(U5="Constante";PROMEDIO(AG5;AH5;AI5;AJ5);SI(U5="Suma";SUMA(AG5;AH5;AI5;AJ5);0))</f>
        <v>13402</v>
      </c>
      <c r="AL5" s="40" t="n">
        <v>0</v>
      </c>
      <c r="AM5" s="53" t="n">
        <f aca="false">7121-1824</f>
        <v>5297</v>
      </c>
      <c r="AN5" s="45" t="n">
        <v>2800</v>
      </c>
      <c r="AO5" s="45" t="n">
        <v>0</v>
      </c>
      <c r="AP5" s="40" t="n">
        <f aca="false">SI(U5="Constante";PROMEDIO(AL5;AM5;AN5;AO5);SI(U5="Suma";SUMA(AL5;AM5;AN5;AO5);0))</f>
        <v>8097</v>
      </c>
      <c r="AQ5" s="46" t="n">
        <v>862040000</v>
      </c>
      <c r="AR5" s="46" t="n">
        <v>391783909</v>
      </c>
      <c r="AS5" s="46" t="n">
        <v>350000000</v>
      </c>
      <c r="AT5" s="47" t="n">
        <f aca="false">665000000+35000000+2333333</f>
        <v>702333333</v>
      </c>
      <c r="AU5" s="46" t="n">
        <f aca="false">SUM(AQ5:AT5)</f>
        <v>2306157242</v>
      </c>
      <c r="AV5" s="46" t="n">
        <v>0</v>
      </c>
      <c r="AW5" s="46" t="n">
        <v>0</v>
      </c>
      <c r="AX5" s="46" t="n">
        <v>0</v>
      </c>
      <c r="AY5" s="47" t="n">
        <v>0</v>
      </c>
      <c r="AZ5" s="48" t="n">
        <f aca="false">SUMA(AV5:AY5)</f>
        <v>0</v>
      </c>
      <c r="BA5" s="49"/>
      <c r="BB5" s="49"/>
      <c r="BC5" s="49" t="s">
        <v>65</v>
      </c>
      <c r="BD5" s="51" t="s">
        <v>66</v>
      </c>
    </row>
    <row collapsed="false" customFormat="true" customHeight="true" hidden="false" ht="37.5" outlineLevel="0" r="6" s="52">
      <c r="A6" s="34" t="n">
        <f aca="false">VLOOKUP(B6,['file:///Users/user/Downloads/10. MUSI BOSA CORTE 31 DE DICIEMBRE 2016_INSUMO CONTRALORIA.xls']Hoja2!$B$47:$C$66,2,0)</f>
        <v>7</v>
      </c>
      <c r="B6" s="35" t="s">
        <v>43</v>
      </c>
      <c r="C6" s="34" t="n">
        <f aca="false">VLOOKUP(E6,['file:///Users/user/Downloads/10. MUSI BOSA CORTE 31 DE DICIEMBRE 2016_INSUMO CONTRALORIA.xls']Hoja2!$B$8:$C$10,2,0)</f>
        <v>1</v>
      </c>
      <c r="D6" s="113" t="s">
        <v>359</v>
      </c>
      <c r="E6" s="36" t="s">
        <v>44</v>
      </c>
      <c r="F6" s="34" t="n">
        <f aca="false">VLOOKUP(G6,['file:///Users/user/Downloads/10. MUSI BOSA CORTE 31 DE DICIEMBRE 2016_INSUMO CONTRALORIA.xls']Hoja2!$B$12:$C$40,2,0)</f>
        <v>2</v>
      </c>
      <c r="G6" s="36" t="s">
        <v>59</v>
      </c>
      <c r="H6" s="37" t="n">
        <v>327</v>
      </c>
      <c r="I6" s="36" t="s">
        <v>67</v>
      </c>
      <c r="J6" s="38" t="n">
        <f aca="false">VLOOKUP(K6,['file:///Users/user/Downloads/10. MUSI BOSA CORTE 31 DE DICIEMBRE 2016_INSUMO CONTRALORIA.xls']Hoja1!$D$81:$G$158,2,0)</f>
        <v>73</v>
      </c>
      <c r="K6" s="39" t="s">
        <v>68</v>
      </c>
      <c r="L6" s="38" t="n">
        <v>830</v>
      </c>
      <c r="M6" s="39" t="s">
        <v>62</v>
      </c>
      <c r="N6" s="38" t="n">
        <v>2</v>
      </c>
      <c r="O6" s="39" t="s">
        <v>56</v>
      </c>
      <c r="P6" s="40" t="n">
        <v>5000</v>
      </c>
      <c r="Q6" s="36" t="s">
        <v>69</v>
      </c>
      <c r="R6" s="36" t="s">
        <v>70</v>
      </c>
      <c r="S6" s="39" t="str">
        <f aca="false">VLOOKUP(K6,['file:///Users/user/Downloads/10. MUSI BOSA CORTE 31 DE DICIEMBRE 2016_INSUMO CONTRALORIA.xls']Hoja1!$D$81:$G$158,4,0)</f>
        <v>9. SALUD</v>
      </c>
      <c r="T6" s="39" t="str">
        <f aca="false">VLOOKUP(K6,['file:///Users/user/Downloads/10. MUSI BOSA CORTE 31 DE DICIEMBRE 2016_INSUMO CONTRALORIA.xls']Hoja1!$D$81:$G$158,3,0)</f>
        <v>Promoción, prevención e intervención en salud</v>
      </c>
      <c r="U6" s="35" t="s">
        <v>52</v>
      </c>
      <c r="V6" s="41" t="n">
        <v>1</v>
      </c>
      <c r="W6" s="42" t="n">
        <f aca="false">AK6/P6</f>
        <v>0.998</v>
      </c>
      <c r="X6" s="42" t="n">
        <f aca="false">V6*W6</f>
        <v>0.998</v>
      </c>
      <c r="Y6" s="42" t="n">
        <f aca="false">AP6/P6</f>
        <v>0.716</v>
      </c>
      <c r="Z6" s="42" t="n">
        <f aca="false">Y6*V6</f>
        <v>0.716</v>
      </c>
      <c r="AA6" s="38" t="n">
        <v>4176</v>
      </c>
      <c r="AB6" s="40" t="n">
        <v>1250</v>
      </c>
      <c r="AC6" s="40" t="n">
        <v>1250</v>
      </c>
      <c r="AD6" s="40" t="n">
        <v>1250</v>
      </c>
      <c r="AE6" s="40" t="n">
        <v>1250</v>
      </c>
      <c r="AF6" s="40" t="n">
        <f aca="false">SI(U6="Constante";PROMEDIO(AB6;AC6;AD6;AE6);SI(U6="Suma";SUMA(AB6;AC6;AD6;AE6);0))</f>
        <v>5000</v>
      </c>
      <c r="AG6" s="40" t="n">
        <v>1250</v>
      </c>
      <c r="AH6" s="40" t="n">
        <v>1250</v>
      </c>
      <c r="AI6" s="43" t="n">
        <v>420</v>
      </c>
      <c r="AJ6" s="44" t="n">
        <f aca="false">1420+650</f>
        <v>2070</v>
      </c>
      <c r="AK6" s="40" t="n">
        <f aca="false">SI(U6="Constante";PROMEDIO(AG6;AH6;AI6;AJ6);SI(U6="Suma";SUMA(AG6;AH6;AI6;AJ6);0))</f>
        <v>4990</v>
      </c>
      <c r="AL6" s="40" t="n">
        <v>1893</v>
      </c>
      <c r="AM6" s="53" t="n">
        <v>1267</v>
      </c>
      <c r="AN6" s="45" t="n">
        <v>420</v>
      </c>
      <c r="AO6" s="45" t="n">
        <v>0</v>
      </c>
      <c r="AP6" s="40" t="n">
        <f aca="false">SI(U6="Constante";PROMEDIO(AL6;AM6;AN6;AO6);SI(U6="Suma";SUMA(AL6;AM6;AN6;AO6);0))</f>
        <v>3580</v>
      </c>
      <c r="AQ6" s="46" t="n">
        <v>414880000</v>
      </c>
      <c r="AR6" s="46" t="n">
        <v>213695080</v>
      </c>
      <c r="AS6" s="46" t="n">
        <v>141522000</v>
      </c>
      <c r="AT6" s="47" t="n">
        <f aca="false">185000000+14999893</f>
        <v>199999893</v>
      </c>
      <c r="AU6" s="46" t="n">
        <f aca="false">SUMA(AQ6:AT6)</f>
        <v>970096973</v>
      </c>
      <c r="AV6" s="46" t="n">
        <v>0</v>
      </c>
      <c r="AW6" s="46" t="n">
        <v>0</v>
      </c>
      <c r="AX6" s="46" t="n">
        <v>0</v>
      </c>
      <c r="AY6" s="47" t="n">
        <v>0</v>
      </c>
      <c r="AZ6" s="48" t="n">
        <f aca="false">SUMA(AV6:AY6)</f>
        <v>0</v>
      </c>
      <c r="BA6" s="49"/>
      <c r="BB6" s="49"/>
      <c r="BC6" s="49" t="s">
        <v>65</v>
      </c>
      <c r="BD6" s="51"/>
    </row>
    <row collapsed="false" customFormat="true" customHeight="true" hidden="false" ht="37.5" outlineLevel="0" r="7" s="52">
      <c r="A7" s="34" t="n">
        <f aca="false">VLOOKUP(B7,['file:///Users/user/Downloads/10. MUSI BOSA CORTE 31 DE DICIEMBRE 2016_INSUMO CONTRALORIA.xls']Hoja2!$B$47:$C$66,2,0)</f>
        <v>7</v>
      </c>
      <c r="B7" s="35" t="s">
        <v>43</v>
      </c>
      <c r="C7" s="34" t="n">
        <f aca="false">VLOOKUP(E7,['file:///Users/user/Downloads/10. MUSI BOSA CORTE 31 DE DICIEMBRE 2016_INSUMO CONTRALORIA.xls']Hoja2!$B$8:$C$10,2,0)</f>
        <v>1</v>
      </c>
      <c r="D7" s="113" t="s">
        <v>359</v>
      </c>
      <c r="E7" s="36" t="s">
        <v>44</v>
      </c>
      <c r="F7" s="34" t="n">
        <f aca="false">VLOOKUP(G7,['file:///Users/user/Downloads/10. MUSI BOSA CORTE 31 DE DICIEMBRE 2016_INSUMO CONTRALORIA.xls']Hoja2!$B$12:$C$40,2,0)</f>
        <v>2</v>
      </c>
      <c r="G7" s="36" t="s">
        <v>59</v>
      </c>
      <c r="H7" s="37" t="n">
        <v>328</v>
      </c>
      <c r="I7" s="36" t="s">
        <v>71</v>
      </c>
      <c r="J7" s="38" t="n">
        <f aca="false">VLOOKUP(K7,['file:///Users/user/Downloads/10. MUSI BOSA CORTE 31 DE DICIEMBRE 2016_INSUMO CONTRALORIA.xls']Hoja1!$D$81:$G$158,2,0)</f>
        <v>5</v>
      </c>
      <c r="K7" s="39" t="s">
        <v>72</v>
      </c>
      <c r="L7" s="38" t="n">
        <v>830</v>
      </c>
      <c r="M7" s="39" t="s">
        <v>62</v>
      </c>
      <c r="N7" s="38" t="n">
        <v>1</v>
      </c>
      <c r="O7" s="39" t="s">
        <v>73</v>
      </c>
      <c r="P7" s="40" t="n">
        <v>1800</v>
      </c>
      <c r="Q7" s="36" t="s">
        <v>63</v>
      </c>
      <c r="R7" s="36" t="s">
        <v>74</v>
      </c>
      <c r="S7" s="39" t="str">
        <f aca="false">VLOOKUP(K7,['file:///Users/user/Downloads/10. MUSI BOSA CORTE 31 DE DICIEMBRE 2016_INSUMO CONTRALORIA.xls']Hoja1!$D$81:$G$158,4,0)</f>
        <v>9. SALUD</v>
      </c>
      <c r="T7" s="39" t="str">
        <f aca="false">VLOOKUP(K7,['file:///Users/user/Downloads/10. MUSI BOSA CORTE 31 DE DICIEMBRE 2016_INSUMO CONTRALORIA.xls']Hoja1!$D$81:$G$158,3,0)</f>
        <v>Promoción, prevención e intervención en salud</v>
      </c>
      <c r="U7" s="35" t="s">
        <v>52</v>
      </c>
      <c r="V7" s="41" t="n">
        <v>1</v>
      </c>
      <c r="W7" s="42" t="n">
        <f aca="false">AK7/P7</f>
        <v>1.05</v>
      </c>
      <c r="X7" s="42" t="n">
        <f aca="false">V7*W7</f>
        <v>1.05</v>
      </c>
      <c r="Y7" s="42" t="n">
        <f aca="false">AP7/P7</f>
        <v>0.657777777777778</v>
      </c>
      <c r="Z7" s="42" t="n">
        <f aca="false">Y7*V7</f>
        <v>0.657777777777778</v>
      </c>
      <c r="AA7" s="38" t="n">
        <v>1626</v>
      </c>
      <c r="AB7" s="40" t="n">
        <v>450</v>
      </c>
      <c r="AC7" s="40" t="n">
        <v>450</v>
      </c>
      <c r="AD7" s="40" t="n">
        <v>450</v>
      </c>
      <c r="AE7" s="40" t="n">
        <v>450</v>
      </c>
      <c r="AF7" s="40" t="n">
        <f aca="false">SI(U7="Constante";PROMEDIO(AB7;AC7;AD7;AE7);SI(U7="Suma";SUMA(AB7;AC7;AD7;AE7);0))</f>
        <v>1800</v>
      </c>
      <c r="AG7" s="40" t="n">
        <v>600</v>
      </c>
      <c r="AH7" s="40" t="n">
        <v>450</v>
      </c>
      <c r="AI7" s="43" t="n">
        <v>224</v>
      </c>
      <c r="AJ7" s="44" t="n">
        <v>616</v>
      </c>
      <c r="AK7" s="40" t="n">
        <f aca="false">SI(U7="Constante";PROMEDIO(AG7;AH7;AI7;AJ7);SI(U7="Suma";SUMA(AG7;AH7;AI7;AJ7);0))</f>
        <v>1890</v>
      </c>
      <c r="AL7" s="53" t="n">
        <v>510</v>
      </c>
      <c r="AM7" s="53" t="n">
        <v>508</v>
      </c>
      <c r="AN7" s="45" t="n">
        <v>166</v>
      </c>
      <c r="AO7" s="45" t="n">
        <v>0</v>
      </c>
      <c r="AP7" s="40" t="n">
        <f aca="false">SI(U7="Constante";PROMEDIO(AL7;AM7;AN7;AO7);SI(U7="Suma";SUMA(AL7;AM7;AN7;AO7);0))</f>
        <v>1184</v>
      </c>
      <c r="AQ7" s="46" t="n">
        <v>876000000</v>
      </c>
      <c r="AR7" s="46" t="n">
        <v>704200000</v>
      </c>
      <c r="AS7" s="46" t="n">
        <v>199942262</v>
      </c>
      <c r="AT7" s="47" t="n">
        <f aca="false">1140000000+60000000</f>
        <v>1200000000</v>
      </c>
      <c r="AU7" s="46" t="n">
        <f aca="false">SUMA(AQ7:AT7)</f>
        <v>2980142262</v>
      </c>
      <c r="AV7" s="46" t="n">
        <v>0</v>
      </c>
      <c r="AW7" s="46" t="n">
        <v>2100000</v>
      </c>
      <c r="AX7" s="46" t="n">
        <v>0</v>
      </c>
      <c r="AY7" s="47" t="n">
        <v>0</v>
      </c>
      <c r="AZ7" s="48" t="n">
        <f aca="false">SUMA(AV7:AY7)</f>
        <v>2100000</v>
      </c>
      <c r="BA7" s="49"/>
      <c r="BB7" s="49"/>
      <c r="BC7" s="49" t="s">
        <v>65</v>
      </c>
      <c r="BD7" s="51" t="s">
        <v>75</v>
      </c>
    </row>
    <row collapsed="false" customFormat="true" customHeight="true" hidden="false" ht="37.5" outlineLevel="0" r="8" s="52">
      <c r="A8" s="34" t="n">
        <f aca="false">VLOOKUP(B8,['file:///Users/user/Downloads/10. MUSI BOSA CORTE 31 DE DICIEMBRE 2016_INSUMO CONTRALORIA.xls']Hoja2!$B$47:$C$66,2,0)</f>
        <v>7</v>
      </c>
      <c r="B8" s="35" t="s">
        <v>43</v>
      </c>
      <c r="C8" s="34" t="n">
        <f aca="false">VLOOKUP(E8,['file:///Users/user/Downloads/10. MUSI BOSA CORTE 31 DE DICIEMBRE 2016_INSUMO CONTRALORIA.xls']Hoja2!$B$8:$C$10,2,0)</f>
        <v>1</v>
      </c>
      <c r="D8" s="113" t="s">
        <v>359</v>
      </c>
      <c r="E8" s="36" t="s">
        <v>44</v>
      </c>
      <c r="F8" s="34" t="n">
        <f aca="false">VLOOKUP(G8,['file:///Users/user/Downloads/10. MUSI BOSA CORTE 31 DE DICIEMBRE 2016_INSUMO CONTRALORIA.xls']Hoja2!$B$12:$C$40,2,0)</f>
        <v>2</v>
      </c>
      <c r="G8" s="36" t="s">
        <v>59</v>
      </c>
      <c r="H8" s="37" t="n">
        <v>329</v>
      </c>
      <c r="I8" s="36" t="s">
        <v>76</v>
      </c>
      <c r="J8" s="38" t="n">
        <f aca="false">VLOOKUP(K8,['file:///Users/user/Downloads/10. MUSI BOSA CORTE 31 DE DICIEMBRE 2016_INSUMO CONTRALORIA.xls']Hoja1!$D$81:$G$158,2,0)</f>
        <v>4</v>
      </c>
      <c r="K8" s="39" t="s">
        <v>61</v>
      </c>
      <c r="L8" s="38" t="n">
        <v>830</v>
      </c>
      <c r="M8" s="39" t="s">
        <v>62</v>
      </c>
      <c r="N8" s="38" t="n">
        <v>4</v>
      </c>
      <c r="O8" s="39" t="s">
        <v>56</v>
      </c>
      <c r="P8" s="40" t="n">
        <v>4000</v>
      </c>
      <c r="Q8" s="36" t="s">
        <v>77</v>
      </c>
      <c r="R8" s="36" t="s">
        <v>78</v>
      </c>
      <c r="S8" s="39" t="str">
        <f aca="false">VLOOKUP(K8,['file:///Users/user/Downloads/10. MUSI BOSA CORTE 31 DE DICIEMBRE 2016_INSUMO CONTRALORIA.xls']Hoja1!$D$81:$G$158,4,0)</f>
        <v>9. SALUD</v>
      </c>
      <c r="T8" s="39" t="str">
        <f aca="false">VLOOKUP(K8,['file:///Users/user/Downloads/10. MUSI BOSA CORTE 31 DE DICIEMBRE 2016_INSUMO CONTRALORIA.xls']Hoja1!$D$81:$G$158,3,0)</f>
        <v>Promoción, prevención e intervención en salud</v>
      </c>
      <c r="U8" s="35" t="s">
        <v>52</v>
      </c>
      <c r="V8" s="41" t="n">
        <v>1</v>
      </c>
      <c r="W8" s="42" t="n">
        <f aca="false">AK8/P8</f>
        <v>1.63525</v>
      </c>
      <c r="X8" s="42" t="n">
        <f aca="false">V8*W8</f>
        <v>1.63525</v>
      </c>
      <c r="Y8" s="42" t="n">
        <f aca="false">AP8/P8</f>
        <v>1.18625</v>
      </c>
      <c r="Z8" s="42" t="n">
        <f aca="false">Y8*V8</f>
        <v>1.18625</v>
      </c>
      <c r="AA8" s="38" t="n">
        <v>0</v>
      </c>
      <c r="AB8" s="40" t="n">
        <v>1000</v>
      </c>
      <c r="AC8" s="40" t="n">
        <v>1000</v>
      </c>
      <c r="AD8" s="40" t="n">
        <v>1000</v>
      </c>
      <c r="AE8" s="40" t="n">
        <v>1000</v>
      </c>
      <c r="AF8" s="40" t="n">
        <f aca="false">SI(U8="Constante";PROMEDIO(AB8;AC8;AD8;AE8);SI(U8="Suma";SUMA(AB8;AC8;AD8;AE8);0))</f>
        <v>4000</v>
      </c>
      <c r="AG8" s="40" t="n">
        <v>1000</v>
      </c>
      <c r="AH8" s="40" t="n">
        <v>1530</v>
      </c>
      <c r="AI8" s="43" t="n">
        <f aca="false">8811-4800</f>
        <v>4011</v>
      </c>
      <c r="AJ8" s="44" t="n">
        <v>0</v>
      </c>
      <c r="AK8" s="40" t="n">
        <f aca="false">SI(U8="Constante";PROMEDIO(AG8;AH8;AI8;AJ8);SI(U8="Suma";SUMA(AG8;AH8;AI8;AJ8);0))</f>
        <v>6541</v>
      </c>
      <c r="AL8" s="40" t="n">
        <v>0</v>
      </c>
      <c r="AM8" s="53" t="n">
        <v>1935</v>
      </c>
      <c r="AN8" s="45" t="n">
        <v>2810</v>
      </c>
      <c r="AO8" s="45" t="n">
        <v>0</v>
      </c>
      <c r="AP8" s="40" t="n">
        <f aca="false">SI(U8="Constante";PROMEDIO(AL8;AM8;AN8;AO8);SI(U8="Suma";SUMA(AL8;AM8;AN8;AO8);0))</f>
        <v>4745</v>
      </c>
      <c r="AQ8" s="46" t="n">
        <v>350000000</v>
      </c>
      <c r="AR8" s="46" t="n">
        <v>320040000</v>
      </c>
      <c r="AS8" s="46" t="n">
        <v>350000000</v>
      </c>
      <c r="AT8" s="47" t="n">
        <v>0</v>
      </c>
      <c r="AU8" s="46" t="n">
        <f aca="false">SUMA(AQ8:AT8)</f>
        <v>1020040000</v>
      </c>
      <c r="AV8" s="46" t="n">
        <v>0</v>
      </c>
      <c r="AW8" s="46" t="n">
        <v>0</v>
      </c>
      <c r="AX8" s="46" t="n">
        <v>0</v>
      </c>
      <c r="AY8" s="47" t="n">
        <v>0</v>
      </c>
      <c r="AZ8" s="48" t="n">
        <f aca="false">SUMA(AV8:AY8)</f>
        <v>0</v>
      </c>
      <c r="BA8" s="49"/>
      <c r="BB8" s="49"/>
      <c r="BC8" s="49" t="s">
        <v>65</v>
      </c>
      <c r="BD8" s="51" t="s">
        <v>79</v>
      </c>
    </row>
    <row collapsed="false" customFormat="true" customHeight="true" hidden="false" ht="37.5" outlineLevel="0" r="9" s="52">
      <c r="A9" s="34" t="n">
        <f aca="false">VLOOKUP(B9,['file:///Users/user/Downloads/10. MUSI BOSA CORTE 31 DE DICIEMBRE 2016_INSUMO CONTRALORIA.xls']Hoja2!$B$47:$C$66,2,0)</f>
        <v>7</v>
      </c>
      <c r="B9" s="35" t="s">
        <v>43</v>
      </c>
      <c r="C9" s="34" t="n">
        <f aca="false">VLOOKUP(E9,['file:///Users/user/Downloads/10. MUSI BOSA CORTE 31 DE DICIEMBRE 2016_INSUMO CONTRALORIA.xls']Hoja2!$B$8:$C$10,2,0)</f>
        <v>1</v>
      </c>
      <c r="D9" s="113" t="s">
        <v>359</v>
      </c>
      <c r="E9" s="36" t="s">
        <v>44</v>
      </c>
      <c r="F9" s="34" t="n">
        <f aca="false">VLOOKUP(G9,['file:///Users/user/Downloads/10. MUSI BOSA CORTE 31 DE DICIEMBRE 2016_INSUMO CONTRALORIA.xls']Hoja2!$B$12:$C$40,2,0)</f>
        <v>3</v>
      </c>
      <c r="G9" s="36" t="s">
        <v>80</v>
      </c>
      <c r="H9" s="37" t="n">
        <v>330</v>
      </c>
      <c r="I9" s="36" t="s">
        <v>81</v>
      </c>
      <c r="J9" s="38" t="n">
        <f aca="false">VLOOKUP(K9,['file:///Users/user/Downloads/10. MUSI BOSA CORTE 31 DE DICIEMBRE 2016_INSUMO CONTRALORIA.xls']Hoja1!$D$81:$G$158,2,0)</f>
        <v>11</v>
      </c>
      <c r="K9" s="39" t="s">
        <v>82</v>
      </c>
      <c r="L9" s="38" t="n">
        <v>1007</v>
      </c>
      <c r="M9" s="39" t="s">
        <v>83</v>
      </c>
      <c r="N9" s="38" t="n">
        <v>3</v>
      </c>
      <c r="O9" s="39" t="s">
        <v>56</v>
      </c>
      <c r="P9" s="40" t="n">
        <v>300</v>
      </c>
      <c r="Q9" s="36" t="s">
        <v>63</v>
      </c>
      <c r="R9" s="36" t="s">
        <v>84</v>
      </c>
      <c r="S9" s="39" t="str">
        <f aca="false">VLOOKUP(K9,['file:///Users/user/Downloads/10. MUSI BOSA CORTE 31 DE DICIEMBRE 2016_INSUMO CONTRALORIA.xls']Hoja1!$D$81:$G$158,4,0)</f>
        <v>4. EDUCACIÓN</v>
      </c>
      <c r="T9" s="39" t="str">
        <f aca="false">VLOOKUP(K9,['file:///Users/user/Downloads/10. MUSI BOSA CORTE 31 DE DICIEMBRE 2016_INSUMO CONTRALORIA.xls']Hoja1!$D$81:$G$158,3,0)</f>
        <v>Validación Escolar</v>
      </c>
      <c r="U9" s="35" t="s">
        <v>85</v>
      </c>
      <c r="V9" s="41" t="n">
        <v>1</v>
      </c>
      <c r="W9" s="42" t="n">
        <f aca="false">AK9/P9</f>
        <v>0.791666666666667</v>
      </c>
      <c r="X9" s="42" t="n">
        <f aca="false">V9*W9</f>
        <v>0.791666666666667</v>
      </c>
      <c r="Y9" s="42" t="n">
        <f aca="false">AP9/P9</f>
        <v>0.729166666666667</v>
      </c>
      <c r="Z9" s="42" t="n">
        <f aca="false">Y9*V9</f>
        <v>0.729166666666667</v>
      </c>
      <c r="AA9" s="38" t="n">
        <v>0</v>
      </c>
      <c r="AB9" s="40" t="n">
        <v>300</v>
      </c>
      <c r="AC9" s="40" t="n">
        <v>300</v>
      </c>
      <c r="AD9" s="40" t="n">
        <v>300</v>
      </c>
      <c r="AE9" s="40" t="n">
        <v>300</v>
      </c>
      <c r="AF9" s="40" t="n">
        <f aca="false">SI(U9="Constante";PROMEDIO(AB9;AC9;AD9;AE9);SI(U9="Suma";SUMA(AB9;AC9;AD9;AE9);0))</f>
        <v>300</v>
      </c>
      <c r="AG9" s="40" t="n">
        <v>400</v>
      </c>
      <c r="AH9" s="40" t="n">
        <v>450</v>
      </c>
      <c r="AI9" s="43" t="n">
        <v>0</v>
      </c>
      <c r="AJ9" s="44" t="n">
        <v>100</v>
      </c>
      <c r="AK9" s="40" t="n">
        <f aca="false">SI(U9="Constante";PROMEDIO(AG9;AH9;AI9;AJ9);SI(U9="Suma";SUMA(AG9;AH9;AI9;AJ9);0))</f>
        <v>237.5</v>
      </c>
      <c r="AL9" s="40" t="n">
        <v>425</v>
      </c>
      <c r="AM9" s="43" t="n">
        <v>450</v>
      </c>
      <c r="AN9" s="45" t="n">
        <v>0</v>
      </c>
      <c r="AO9" s="45" t="n">
        <v>0</v>
      </c>
      <c r="AP9" s="40" t="n">
        <f aca="false">SI(U9="Constante";PROMEDIO(AL9;AM9;AN9;AO9);SI(U9="Suma";SUMA(AL9;AM9;AN9;AO9);0))</f>
        <v>218.75</v>
      </c>
      <c r="AQ9" s="46" t="n">
        <v>526000000</v>
      </c>
      <c r="AR9" s="46" t="n">
        <v>541857143</v>
      </c>
      <c r="AS9" s="46" t="n">
        <v>0</v>
      </c>
      <c r="AT9" s="47" t="n">
        <v>229785500</v>
      </c>
      <c r="AU9" s="46" t="n">
        <f aca="false">SUMA(AQ9:AT9)</f>
        <v>1297642643</v>
      </c>
      <c r="AV9" s="46" t="n">
        <v>0</v>
      </c>
      <c r="AW9" s="46" t="n">
        <v>0</v>
      </c>
      <c r="AX9" s="46" t="n">
        <v>0</v>
      </c>
      <c r="AY9" s="47" t="n">
        <v>0</v>
      </c>
      <c r="AZ9" s="48" t="n">
        <f aca="false">SUMA(AV9:AY9)</f>
        <v>0</v>
      </c>
      <c r="BA9" s="49"/>
      <c r="BB9" s="49"/>
      <c r="BC9" s="49" t="s">
        <v>65</v>
      </c>
      <c r="BD9" s="51"/>
    </row>
    <row collapsed="false" customFormat="true" customHeight="true" hidden="false" ht="37.5" outlineLevel="0" r="10" s="52">
      <c r="A10" s="34" t="n">
        <f aca="false">VLOOKUP(B10,['file:///Users/user/Downloads/10. MUSI BOSA CORTE 31 DE DICIEMBRE 2016_INSUMO CONTRALORIA.xls']Hoja2!$B$47:$C$66,2,0)</f>
        <v>7</v>
      </c>
      <c r="B10" s="35" t="s">
        <v>43</v>
      </c>
      <c r="C10" s="34" t="n">
        <f aca="false">VLOOKUP(E10,['file:///Users/user/Downloads/10. MUSI BOSA CORTE 31 DE DICIEMBRE 2016_INSUMO CONTRALORIA.xls']Hoja2!$B$8:$C$10,2,0)</f>
        <v>1</v>
      </c>
      <c r="D10" s="113" t="s">
        <v>359</v>
      </c>
      <c r="E10" s="36" t="s">
        <v>44</v>
      </c>
      <c r="F10" s="34" t="n">
        <f aca="false">VLOOKUP(G10,['file:///Users/user/Downloads/10. MUSI BOSA CORTE 31 DE DICIEMBRE 2016_INSUMO CONTRALORIA.xls']Hoja2!$B$12:$C$40,2,0)</f>
        <v>3</v>
      </c>
      <c r="G10" s="36" t="s">
        <v>80</v>
      </c>
      <c r="H10" s="37" t="n">
        <v>331</v>
      </c>
      <c r="I10" s="36" t="s">
        <v>86</v>
      </c>
      <c r="J10" s="38" t="n">
        <f aca="false">VLOOKUP(K10,['file:///Users/user/Downloads/10. MUSI BOSA CORTE 31 DE DICIEMBRE 2016_INSUMO CONTRALORIA.xls']Hoja1!$D$81:$G$158,2,0)</f>
        <v>9</v>
      </c>
      <c r="K10" s="39" t="s">
        <v>87</v>
      </c>
      <c r="L10" s="38" t="n">
        <v>1007</v>
      </c>
      <c r="M10" s="39" t="s">
        <v>83</v>
      </c>
      <c r="N10" s="38" t="n">
        <v>1</v>
      </c>
      <c r="O10" s="39" t="s">
        <v>56</v>
      </c>
      <c r="P10" s="40" t="n">
        <v>58000</v>
      </c>
      <c r="Q10" s="36" t="s">
        <v>88</v>
      </c>
      <c r="R10" s="36" t="s">
        <v>89</v>
      </c>
      <c r="S10" s="39" t="str">
        <f aca="false">VLOOKUP(K10,['file:///Users/user/Downloads/10. MUSI BOSA CORTE 31 DE DICIEMBRE 2016_INSUMO CONTRALORIA.xls']Hoja1!$D$81:$G$158,4,0)</f>
        <v>4. EDUCACIÓN</v>
      </c>
      <c r="T10" s="39" t="str">
        <f aca="false">VLOOKUP(K10,['file:///Users/user/Downloads/10. MUSI BOSA CORTE 31 DE DICIEMBRE 2016_INSUMO CONTRALORIA.xls']Hoja1!$D$81:$G$158,3,0)</f>
        <v>Actividades Extraescolares</v>
      </c>
      <c r="U10" s="35" t="s">
        <v>52</v>
      </c>
      <c r="V10" s="41" t="n">
        <v>1</v>
      </c>
      <c r="W10" s="42" t="n">
        <f aca="false">AK10/P10</f>
        <v>0.917413793103448</v>
      </c>
      <c r="X10" s="42" t="n">
        <f aca="false">V10*W10</f>
        <v>0.917413793103448</v>
      </c>
      <c r="Y10" s="42" t="n">
        <f aca="false">AP10/P10</f>
        <v>0.71051724137931</v>
      </c>
      <c r="Z10" s="42" t="n">
        <f aca="false">Y10*V10</f>
        <v>0.71051724137931</v>
      </c>
      <c r="AA10" s="38" t="n">
        <v>5479</v>
      </c>
      <c r="AB10" s="40" t="n">
        <v>14500</v>
      </c>
      <c r="AC10" s="40" t="n">
        <v>14500</v>
      </c>
      <c r="AD10" s="40" t="n">
        <v>14500</v>
      </c>
      <c r="AE10" s="40" t="n">
        <v>14500</v>
      </c>
      <c r="AF10" s="40" t="n">
        <f aca="false">SI(U10="Constante";PROMEDIO(AB10;AC10;AD10;AE10);SI(U10="Suma";SUMA(AB10;AC10;AD10;AE10);0))</f>
        <v>58000</v>
      </c>
      <c r="AG10" s="40" t="n">
        <f aca="false">21110+2100</f>
        <v>23210</v>
      </c>
      <c r="AH10" s="40" t="n">
        <v>8000</v>
      </c>
      <c r="AI10" s="43" t="n">
        <v>10000</v>
      </c>
      <c r="AJ10" s="44" t="n">
        <v>12000</v>
      </c>
      <c r="AK10" s="40" t="n">
        <f aca="false">SI(U10="Constante";PROMEDIO(AG10;AH10;AI10;AJ10);SI(U10="Suma";SUMA(AG10;AH10;AI10;AJ10);0))</f>
        <v>53210</v>
      </c>
      <c r="AL10" s="40" t="n">
        <v>23210</v>
      </c>
      <c r="AM10" s="43" t="n">
        <v>8000</v>
      </c>
      <c r="AN10" s="45" t="n">
        <v>10000</v>
      </c>
      <c r="AO10" s="45" t="n">
        <v>0</v>
      </c>
      <c r="AP10" s="40" t="n">
        <f aca="false">SI(U10="Constante";PROMEDIO(AL10;AM10;AN10;AO10);SI(U10="Suma";SUMA(AL10;AM10;AN10;AO10);0))</f>
        <v>41210</v>
      </c>
      <c r="AQ10" s="46" t="n">
        <v>1158761905</v>
      </c>
      <c r="AR10" s="46" t="n">
        <v>567300000</v>
      </c>
      <c r="AS10" s="46" t="n">
        <f aca="false">685000000+15000000</f>
        <v>700000000</v>
      </c>
      <c r="AT10" s="47" t="n">
        <v>1244299116</v>
      </c>
      <c r="AU10" s="46" t="n">
        <f aca="false">SUMA(AQ10:AT10)</f>
        <v>3670361021</v>
      </c>
      <c r="AV10" s="46" t="n">
        <v>1158761905</v>
      </c>
      <c r="AW10" s="46" t="n">
        <v>510570000</v>
      </c>
      <c r="AX10" s="46" t="n">
        <f aca="false">685000000+15000000</f>
        <v>700000000</v>
      </c>
      <c r="AY10" s="47" t="n">
        <v>0</v>
      </c>
      <c r="AZ10" s="48" t="n">
        <f aca="false">SUMA(AV10:AY10)</f>
        <v>2369331905</v>
      </c>
      <c r="BA10" s="49"/>
      <c r="BB10" s="49"/>
      <c r="BC10" s="49" t="s">
        <v>65</v>
      </c>
      <c r="BD10" s="51"/>
    </row>
    <row collapsed="false" customFormat="true" customHeight="true" hidden="false" ht="37.5" outlineLevel="0" r="11" s="52">
      <c r="A11" s="34" t="n">
        <f aca="false">VLOOKUP(B11,['file:///Users/user/Downloads/10. MUSI BOSA CORTE 31 DE DICIEMBRE 2016_INSUMO CONTRALORIA.xls']Hoja2!$B$47:$C$66,2,0)</f>
        <v>7</v>
      </c>
      <c r="B11" s="35" t="s">
        <v>43</v>
      </c>
      <c r="C11" s="34" t="n">
        <f aca="false">VLOOKUP(E11,['file:///Users/user/Downloads/10. MUSI BOSA CORTE 31 DE DICIEMBRE 2016_INSUMO CONTRALORIA.xls']Hoja2!$B$8:$C$10,2,0)</f>
        <v>1</v>
      </c>
      <c r="D11" s="113" t="s">
        <v>359</v>
      </c>
      <c r="E11" s="36" t="s">
        <v>44</v>
      </c>
      <c r="F11" s="34" t="n">
        <f aca="false">VLOOKUP(G11,['file:///Users/user/Downloads/10. MUSI BOSA CORTE 31 DE DICIEMBRE 2016_INSUMO CONTRALORIA.xls']Hoja2!$B$12:$C$40,2,0)</f>
        <v>3</v>
      </c>
      <c r="G11" s="36" t="s">
        <v>80</v>
      </c>
      <c r="H11" s="37" t="n">
        <v>332</v>
      </c>
      <c r="I11" s="36" t="s">
        <v>90</v>
      </c>
      <c r="J11" s="38" t="n">
        <f aca="false">VLOOKUP(K11,['file:///Users/user/Downloads/10. MUSI BOSA CORTE 31 DE DICIEMBRE 2016_INSUMO CONTRALORIA.xls']Hoja1!$D$81:$G$158,2,0)</f>
        <v>7</v>
      </c>
      <c r="K11" s="39" t="s">
        <v>91</v>
      </c>
      <c r="L11" s="38" t="n">
        <v>1007</v>
      </c>
      <c r="M11" s="39" t="s">
        <v>83</v>
      </c>
      <c r="N11" s="38" t="n">
        <v>2</v>
      </c>
      <c r="O11" s="39" t="s">
        <v>49</v>
      </c>
      <c r="P11" s="40" t="n">
        <v>28</v>
      </c>
      <c r="Q11" s="36" t="s">
        <v>92</v>
      </c>
      <c r="R11" s="36" t="s">
        <v>93</v>
      </c>
      <c r="S11" s="39" t="str">
        <f aca="false">VLOOKUP(K11,['file:///Users/user/Downloads/10. MUSI BOSA CORTE 31 DE DICIEMBRE 2016_INSUMO CONTRALORIA.xls']Hoja1!$D$81:$G$158,4,0)</f>
        <v>4. EDUCACIÓN</v>
      </c>
      <c r="T11" s="39" t="str">
        <f aca="false">VLOOKUP(K11,['file:///Users/user/Downloads/10. MUSI BOSA CORTE 31 DE DICIEMBRE 2016_INSUMO CONTRALORIA.xls']Hoja1!$D$81:$G$158,3,0)</f>
        <v>Infraestructura y dotación escolar</v>
      </c>
      <c r="U11" s="35" t="s">
        <v>52</v>
      </c>
      <c r="V11" s="41" t="n">
        <v>1</v>
      </c>
      <c r="W11" s="42" t="n">
        <f aca="false">AK11/P11</f>
        <v>1.03571428571429</v>
      </c>
      <c r="X11" s="42" t="n">
        <f aca="false">V11*W11</f>
        <v>1.03571428571429</v>
      </c>
      <c r="Y11" s="42" t="n">
        <f aca="false">AP11/P11</f>
        <v>0.75</v>
      </c>
      <c r="Z11" s="42" t="n">
        <f aca="false">Y11*V11</f>
        <v>0.75</v>
      </c>
      <c r="AA11" s="38" t="n">
        <v>22</v>
      </c>
      <c r="AB11" s="40" t="n">
        <v>7</v>
      </c>
      <c r="AC11" s="40" t="n">
        <v>7</v>
      </c>
      <c r="AD11" s="40" t="n">
        <v>7</v>
      </c>
      <c r="AE11" s="40" t="n">
        <v>7</v>
      </c>
      <c r="AF11" s="40" t="n">
        <f aca="false">SI(U11="Constante";PROMEDIO(AB11;AC11;AD11;AE11);SI(U11="Suma";SUMA(AB11;AC11;AD11;AE11);0))</f>
        <v>28</v>
      </c>
      <c r="AG11" s="40" t="n">
        <v>7</v>
      </c>
      <c r="AH11" s="40" t="n">
        <v>7</v>
      </c>
      <c r="AI11" s="43" t="n">
        <v>7</v>
      </c>
      <c r="AJ11" s="44" t="n">
        <v>8</v>
      </c>
      <c r="AK11" s="40" t="n">
        <f aca="false">SI(U11="Constante";PROMEDIO(AG11;AH11;AI11;AJ11);SI(U11="Suma";SUMA(AG11;AH11;AI11;AJ11);0))</f>
        <v>29</v>
      </c>
      <c r="AL11" s="40" t="n">
        <v>7</v>
      </c>
      <c r="AM11" s="43" t="n">
        <v>7</v>
      </c>
      <c r="AN11" s="45" t="n">
        <v>7</v>
      </c>
      <c r="AO11" s="45" t="n">
        <v>0</v>
      </c>
      <c r="AP11" s="40" t="n">
        <f aca="false">SI(U11="Constante";PROMEDIO(AL11;AM11;AN11;AO11);SI(U11="Suma";SUMA(AL11;AM11;AN11;AO11);0))</f>
        <v>21</v>
      </c>
      <c r="AQ11" s="46" t="n">
        <v>898039005</v>
      </c>
      <c r="AR11" s="46" t="n">
        <v>900000000</v>
      </c>
      <c r="AS11" s="46" t="n">
        <v>539966356</v>
      </c>
      <c r="AT11" s="47" t="n">
        <v>648916667</v>
      </c>
      <c r="AU11" s="46" t="n">
        <f aca="false">SUMA(AQ11:AT11)</f>
        <v>2986922028</v>
      </c>
      <c r="AV11" s="46" t="n">
        <v>228786600</v>
      </c>
      <c r="AW11" s="46" t="n">
        <v>243390000</v>
      </c>
      <c r="AX11" s="46" t="n">
        <v>0</v>
      </c>
      <c r="AY11" s="47" t="n">
        <v>0</v>
      </c>
      <c r="AZ11" s="48" t="n">
        <f aca="false">SUMA(AV11:AY11)</f>
        <v>472176600</v>
      </c>
      <c r="BA11" s="49"/>
      <c r="BB11" s="49"/>
      <c r="BC11" s="49" t="s">
        <v>65</v>
      </c>
      <c r="BD11" s="51" t="s">
        <v>94</v>
      </c>
    </row>
    <row collapsed="false" customFormat="true" customHeight="true" hidden="false" ht="37.5" outlineLevel="0" r="12" s="52">
      <c r="A12" s="34" t="n">
        <f aca="false">VLOOKUP(B12,['file:///Users/user/Downloads/10. MUSI BOSA CORTE 31 DE DICIEMBRE 2016_INSUMO CONTRALORIA.xls']Hoja2!$B$47:$C$66,2,0)</f>
        <v>7</v>
      </c>
      <c r="B12" s="35" t="s">
        <v>43</v>
      </c>
      <c r="C12" s="34" t="n">
        <f aca="false">VLOOKUP(E12,['file:///Users/user/Downloads/10. MUSI BOSA CORTE 31 DE DICIEMBRE 2016_INSUMO CONTRALORIA.xls']Hoja2!$B$8:$C$10,2,0)</f>
        <v>1</v>
      </c>
      <c r="D12" s="113" t="s">
        <v>359</v>
      </c>
      <c r="E12" s="36" t="s">
        <v>44</v>
      </c>
      <c r="F12" s="34" t="n">
        <f aca="false">VLOOKUP(G12,['file:///Users/user/Downloads/10. MUSI BOSA CORTE 31 DE DICIEMBRE 2016_INSUMO CONTRALORIA.xls']Hoja2!$B$12:$C$40,2,0)</f>
        <v>4</v>
      </c>
      <c r="G12" s="36" t="s">
        <v>95</v>
      </c>
      <c r="H12" s="37" t="n">
        <v>333</v>
      </c>
      <c r="I12" s="36" t="s">
        <v>96</v>
      </c>
      <c r="J12" s="38" t="n">
        <f aca="false">VLOOKUP(K12,['file:///Users/user/Downloads/10. MUSI BOSA CORTE 31 DE DICIEMBRE 2016_INSUMO CONTRALORIA.xls']Hoja1!$D$81:$G$158,2,0)</f>
        <v>14</v>
      </c>
      <c r="K12" s="39" t="s">
        <v>97</v>
      </c>
      <c r="L12" s="54" t="n">
        <v>831</v>
      </c>
      <c r="M12" s="39" t="s">
        <v>98</v>
      </c>
      <c r="N12" s="38" t="n">
        <v>1</v>
      </c>
      <c r="O12" s="39" t="s">
        <v>56</v>
      </c>
      <c r="P12" s="40" t="n">
        <v>2000</v>
      </c>
      <c r="Q12" s="36" t="s">
        <v>63</v>
      </c>
      <c r="R12" s="36" t="s">
        <v>99</v>
      </c>
      <c r="S12" s="39" t="str">
        <f aca="false">VLOOKUP(K12,['file:///Users/user/Downloads/10. MUSI BOSA CORTE 31 DE DICIEMBRE 2016_INSUMO CONTRALORIA.xls']Hoja1!$D$81:$G$158,4,0)</f>
        <v>12. SECRETARÍA DE LA MUJER</v>
      </c>
      <c r="T12" s="39" t="str">
        <f aca="false">VLOOKUP(K12,['file:///Users/user/Downloads/10. MUSI BOSA CORTE 31 DE DICIEMBRE 2016_INSUMO CONTRALORIA.xls']Hoja1!$D$81:$G$158,3,0)</f>
        <v>Espacios y procesos de participación ciudadana fortalecidos </v>
      </c>
      <c r="U12" s="35" t="s">
        <v>52</v>
      </c>
      <c r="V12" s="41" t="n">
        <v>1</v>
      </c>
      <c r="W12" s="42" t="n">
        <f aca="false">AK12/P12</f>
        <v>1.2275</v>
      </c>
      <c r="X12" s="42" t="n">
        <f aca="false">V12*W12</f>
        <v>1.2275</v>
      </c>
      <c r="Y12" s="42" t="n">
        <f aca="false">AP12/P12</f>
        <v>1.1595</v>
      </c>
      <c r="Z12" s="42" t="n">
        <f aca="false">Y12*V12</f>
        <v>1.1595</v>
      </c>
      <c r="AA12" s="38" t="n">
        <v>0</v>
      </c>
      <c r="AB12" s="40" t="n">
        <v>500</v>
      </c>
      <c r="AC12" s="40" t="n">
        <v>500</v>
      </c>
      <c r="AD12" s="40" t="n">
        <v>500</v>
      </c>
      <c r="AE12" s="40" t="n">
        <v>500</v>
      </c>
      <c r="AF12" s="40" t="n">
        <f aca="false">SI(U12="Constante";PROMEDIO(AB12;AC12;AD12;AE12);SI(U12="Suma";SUMA(AB12;AC12;AD12;AE12);0))</f>
        <v>2000</v>
      </c>
      <c r="AG12" s="40" t="n">
        <v>410</v>
      </c>
      <c r="AH12" s="40" t="n">
        <v>520</v>
      </c>
      <c r="AI12" s="43" t="n">
        <v>925</v>
      </c>
      <c r="AJ12" s="44" t="n">
        <v>600</v>
      </c>
      <c r="AK12" s="40" t="n">
        <f aca="false">SI(U12="Constante";PROMEDIO(AG12;AH12;AI12;AJ12);SI(U12="Suma";SUMA(AG12;AH12;AI12;AJ12);0))</f>
        <v>2455</v>
      </c>
      <c r="AL12" s="40" t="n">
        <v>737</v>
      </c>
      <c r="AM12" s="43" t="n">
        <v>657</v>
      </c>
      <c r="AN12" s="45" t="n">
        <v>925</v>
      </c>
      <c r="AO12" s="45" t="n">
        <v>0</v>
      </c>
      <c r="AP12" s="40" t="n">
        <f aca="false">SI(U12="Constante";PROMEDIO(AL12;AM12;AN12;AO12);SI(U12="Suma";SUMA(AL12;AM12;AN12;AO12);0))</f>
        <v>2319</v>
      </c>
      <c r="AQ12" s="46" t="n">
        <v>175000000</v>
      </c>
      <c r="AR12" s="46" t="n">
        <v>141999997</v>
      </c>
      <c r="AS12" s="46" t="n">
        <v>60000000</v>
      </c>
      <c r="AT12" s="47" t="n">
        <v>190984872</v>
      </c>
      <c r="AU12" s="46" t="n">
        <f aca="false">SUMA(AQ12:AT12)</f>
        <v>567984869</v>
      </c>
      <c r="AV12" s="46" t="n">
        <v>0</v>
      </c>
      <c r="AW12" s="46" t="n">
        <v>0</v>
      </c>
      <c r="AX12" s="46" t="n">
        <v>60000000</v>
      </c>
      <c r="AY12" s="47" t="n">
        <v>0</v>
      </c>
      <c r="AZ12" s="48" t="n">
        <f aca="false">SUMA(AV12:AY12)</f>
        <v>60000000</v>
      </c>
      <c r="BA12" s="49"/>
      <c r="BB12" s="49"/>
      <c r="BC12" s="49" t="s">
        <v>65</v>
      </c>
      <c r="BD12" s="51"/>
    </row>
    <row collapsed="false" customFormat="true" customHeight="true" hidden="false" ht="37.5" outlineLevel="0" r="13" s="52">
      <c r="A13" s="34" t="n">
        <f aca="false">VLOOKUP(B13,['file:///Users/user/Downloads/10. MUSI BOSA CORTE 31 DE DICIEMBRE 2016_INSUMO CONTRALORIA.xls']Hoja2!$B$47:$C$66,2,0)</f>
        <v>7</v>
      </c>
      <c r="B13" s="35" t="s">
        <v>43</v>
      </c>
      <c r="C13" s="34" t="n">
        <f aca="false">VLOOKUP(E13,['file:///Users/user/Downloads/10. MUSI BOSA CORTE 31 DE DICIEMBRE 2016_INSUMO CONTRALORIA.xls']Hoja2!$B$8:$C$10,2,0)</f>
        <v>1</v>
      </c>
      <c r="D13" s="113" t="s">
        <v>359</v>
      </c>
      <c r="E13" s="36" t="s">
        <v>44</v>
      </c>
      <c r="F13" s="34" t="n">
        <f aca="false">VLOOKUP(G13,['file:///Users/user/Downloads/10. MUSI BOSA CORTE 31 DE DICIEMBRE 2016_INSUMO CONTRALORIA.xls']Hoja2!$B$12:$C$40,2,0)</f>
        <v>5</v>
      </c>
      <c r="G13" s="36" t="s">
        <v>100</v>
      </c>
      <c r="H13" s="37" t="n">
        <v>334</v>
      </c>
      <c r="I13" s="36" t="s">
        <v>101</v>
      </c>
      <c r="J13" s="38" t="n">
        <f aca="false">VLOOKUP(K13,['file:///Users/user/Downloads/10. MUSI BOSA CORTE 31 DE DICIEMBRE 2016_INSUMO CONTRALORIA.xls']Hoja1!$D$81:$G$158,2,0)</f>
        <v>69</v>
      </c>
      <c r="K13" s="39" t="s">
        <v>102</v>
      </c>
      <c r="L13" s="38" t="n">
        <v>832</v>
      </c>
      <c r="M13" s="39" t="s">
        <v>103</v>
      </c>
      <c r="N13" s="38" t="n">
        <v>3</v>
      </c>
      <c r="O13" s="39" t="s">
        <v>56</v>
      </c>
      <c r="P13" s="40" t="n">
        <v>800</v>
      </c>
      <c r="Q13" s="36" t="s">
        <v>63</v>
      </c>
      <c r="R13" s="36" t="s">
        <v>104</v>
      </c>
      <c r="S13" s="39" t="str">
        <f aca="false">VLOOKUP(K13,['file:///Users/user/Downloads/10. MUSI BOSA CORTE 31 DE DICIEMBRE 2016_INSUMO CONTRALORIA.xls']Hoja1!$D$81:$G$158,4,0)</f>
        <v>5. GOBIERNO </v>
      </c>
      <c r="T13" s="39" t="str">
        <f aca="false">VLOOKUP(K13,['file:///Users/user/Downloads/10. MUSI BOSA CORTE 31 DE DICIEMBRE 2016_INSUMO CONTRALORIA.xls']Hoja1!$D$81:$G$158,3,0)</f>
        <v>Prevención, atención y gestión del conflicto en la localidad</v>
      </c>
      <c r="U13" s="35" t="s">
        <v>52</v>
      </c>
      <c r="V13" s="41" t="n">
        <v>1</v>
      </c>
      <c r="W13" s="42" t="n">
        <f aca="false">AK13/P13</f>
        <v>3.04375</v>
      </c>
      <c r="X13" s="42" t="n">
        <f aca="false">V13*W13</f>
        <v>3.04375</v>
      </c>
      <c r="Y13" s="42" t="n">
        <f aca="false">AP13/P13</f>
        <v>1.86875</v>
      </c>
      <c r="Z13" s="42" t="n">
        <f aca="false">Y13*V13</f>
        <v>1.86875</v>
      </c>
      <c r="AA13" s="38" t="n">
        <v>0</v>
      </c>
      <c r="AB13" s="40" t="n">
        <v>200</v>
      </c>
      <c r="AC13" s="40" t="n">
        <v>200</v>
      </c>
      <c r="AD13" s="40" t="n">
        <v>200</v>
      </c>
      <c r="AE13" s="40" t="n">
        <v>200</v>
      </c>
      <c r="AF13" s="40" t="n">
        <f aca="false">SI(U13="Constante";PROMEDIO(AB13;AC13;AD13;AE13);SI(U13="Suma";SUMA(AB13;AC13;AD13;AE13);0))</f>
        <v>800</v>
      </c>
      <c r="AG13" s="40" t="n">
        <v>400</v>
      </c>
      <c r="AH13" s="40" t="n">
        <v>35</v>
      </c>
      <c r="AI13" s="43" t="n">
        <v>1000</v>
      </c>
      <c r="AJ13" s="44" t="n">
        <v>1000</v>
      </c>
      <c r="AK13" s="40" t="n">
        <f aca="false">SI(U13="Constante";PROMEDIO(AG13;AH13;AI13;AJ13);SI(U13="Suma";SUMA(AG13;AH13;AI13;AJ13);0))</f>
        <v>2435</v>
      </c>
      <c r="AL13" s="40" t="n">
        <v>400</v>
      </c>
      <c r="AM13" s="43" t="n">
        <v>35</v>
      </c>
      <c r="AN13" s="45" t="n">
        <v>1060</v>
      </c>
      <c r="AO13" s="45" t="n">
        <v>0</v>
      </c>
      <c r="AP13" s="40" t="n">
        <f aca="false">SI(U13="Constante";PROMEDIO(AL13;AM13;AN13;AO13);SI(U13="Suma";SUMA(AL13;AM13;AN13;AO13);0))</f>
        <v>1495</v>
      </c>
      <c r="AQ13" s="46" t="n">
        <v>66000000</v>
      </c>
      <c r="AR13" s="46" t="n">
        <v>100000000</v>
      </c>
      <c r="AS13" s="46" t="n">
        <v>79500000</v>
      </c>
      <c r="AT13" s="47" t="n">
        <v>89810000</v>
      </c>
      <c r="AU13" s="46" t="n">
        <f aca="false">SUMA(AQ13:AT13)</f>
        <v>335310000</v>
      </c>
      <c r="AV13" s="46" t="n">
        <v>0</v>
      </c>
      <c r="AW13" s="46" t="n">
        <v>0</v>
      </c>
      <c r="AX13" s="46" t="n">
        <v>79500000</v>
      </c>
      <c r="AY13" s="47" t="n">
        <v>0</v>
      </c>
      <c r="AZ13" s="48" t="n">
        <f aca="false">SUMA(AV13:AY13)</f>
        <v>79500000</v>
      </c>
      <c r="BA13" s="49"/>
      <c r="BB13" s="49"/>
      <c r="BC13" s="49" t="s">
        <v>65</v>
      </c>
      <c r="BD13" s="51"/>
    </row>
    <row collapsed="false" customFormat="true" customHeight="true" hidden="false" ht="37.5" outlineLevel="0" r="14" s="52">
      <c r="A14" s="34" t="n">
        <f aca="false">VLOOKUP(B14,['file:///Users/user/Downloads/10. MUSI BOSA CORTE 31 DE DICIEMBRE 2016_INSUMO CONTRALORIA.xls']Hoja2!$B$47:$C$66,2,0)</f>
        <v>7</v>
      </c>
      <c r="B14" s="35" t="s">
        <v>43</v>
      </c>
      <c r="C14" s="34" t="n">
        <f aca="false">VLOOKUP(E14,['file:///Users/user/Downloads/10. MUSI BOSA CORTE 31 DE DICIEMBRE 2016_INSUMO CONTRALORIA.xls']Hoja2!$B$8:$C$10,2,0)</f>
        <v>1</v>
      </c>
      <c r="D14" s="113" t="s">
        <v>359</v>
      </c>
      <c r="E14" s="36" t="s">
        <v>44</v>
      </c>
      <c r="F14" s="34" t="n">
        <f aca="false">VLOOKUP(G14,['file:///Users/user/Downloads/10. MUSI BOSA CORTE 31 DE DICIEMBRE 2016_INSUMO CONTRALORIA.xls']Hoja2!$B$12:$C$40,2,0)</f>
        <v>5</v>
      </c>
      <c r="G14" s="36" t="s">
        <v>100</v>
      </c>
      <c r="H14" s="37" t="n">
        <v>335</v>
      </c>
      <c r="I14" s="36" t="s">
        <v>105</v>
      </c>
      <c r="J14" s="38" t="n">
        <f aca="false">VLOOKUP(K14,['file:///Users/user/Downloads/10. MUSI BOSA CORTE 31 DE DICIEMBRE 2016_INSUMO CONTRALORIA.xls']Hoja1!$D$81:$G$158,2,0)</f>
        <v>69</v>
      </c>
      <c r="K14" s="39" t="s">
        <v>102</v>
      </c>
      <c r="L14" s="38" t="n">
        <v>832</v>
      </c>
      <c r="M14" s="39" t="s">
        <v>103</v>
      </c>
      <c r="N14" s="38" t="n">
        <v>4</v>
      </c>
      <c r="O14" s="39" t="s">
        <v>56</v>
      </c>
      <c r="P14" s="40" t="n">
        <v>4000</v>
      </c>
      <c r="Q14" s="36" t="s">
        <v>63</v>
      </c>
      <c r="R14" s="36" t="s">
        <v>106</v>
      </c>
      <c r="S14" s="39" t="str">
        <f aca="false">VLOOKUP(K14,['file:///Users/user/Downloads/10. MUSI BOSA CORTE 31 DE DICIEMBRE 2016_INSUMO CONTRALORIA.xls']Hoja1!$D$81:$G$158,4,0)</f>
        <v>5. GOBIERNO </v>
      </c>
      <c r="T14" s="39" t="str">
        <f aca="false">VLOOKUP(K14,['file:///Users/user/Downloads/10. MUSI BOSA CORTE 31 DE DICIEMBRE 2016_INSUMO CONTRALORIA.xls']Hoja1!$D$81:$G$158,3,0)</f>
        <v>Prevención, atención y gestión del conflicto en la localidad</v>
      </c>
      <c r="U14" s="35" t="s">
        <v>52</v>
      </c>
      <c r="V14" s="41" t="n">
        <v>1</v>
      </c>
      <c r="W14" s="42" t="n">
        <f aca="false">AK14/P14</f>
        <v>2.35</v>
      </c>
      <c r="X14" s="42" t="n">
        <f aca="false">V14*W14</f>
        <v>2.35</v>
      </c>
      <c r="Y14" s="42" t="n">
        <f aca="false">AP14/P14</f>
        <v>2.67525</v>
      </c>
      <c r="Z14" s="42" t="n">
        <f aca="false">Y14*V14</f>
        <v>2.67525</v>
      </c>
      <c r="AA14" s="38" t="n">
        <v>0</v>
      </c>
      <c r="AB14" s="40" t="n">
        <v>1000</v>
      </c>
      <c r="AC14" s="40" t="n">
        <v>1000</v>
      </c>
      <c r="AD14" s="40" t="n">
        <v>1000</v>
      </c>
      <c r="AE14" s="40" t="n">
        <v>1000</v>
      </c>
      <c r="AF14" s="40" t="n">
        <f aca="false">SI(U14="Constante";PROMEDIO(AB14;AC14;AD14;AE14);SI(U14="Suma";SUMA(AB14;AC14;AD14;AE14);0))</f>
        <v>4000</v>
      </c>
      <c r="AG14" s="40" t="n">
        <v>400</v>
      </c>
      <c r="AH14" s="40" t="n">
        <v>5000</v>
      </c>
      <c r="AI14" s="43" t="n">
        <f aca="false">3000</f>
        <v>3000</v>
      </c>
      <c r="AJ14" s="44" t="n">
        <v>1000</v>
      </c>
      <c r="AK14" s="40" t="n">
        <f aca="false">SI(U14="Constante";PROMEDIO(AG14;AH14;AI14;AJ14);SI(U14="Suma";SUMA(AG14;AH14;AI14;AJ14);0))</f>
        <v>9400</v>
      </c>
      <c r="AL14" s="40" t="n">
        <v>400</v>
      </c>
      <c r="AM14" s="43" t="n">
        <f aca="false">1885+2225+2321+2134</f>
        <v>8565</v>
      </c>
      <c r="AN14" s="45" t="n">
        <v>1736</v>
      </c>
      <c r="AO14" s="45" t="n">
        <v>0</v>
      </c>
      <c r="AP14" s="40" t="n">
        <f aca="false">SI(U14="Constante";PROMEDIO(AL14;AM14;AN14;AO14);SI(U14="Suma";SUMA(AL14;AM14;AN14;AO14);0))</f>
        <v>10701</v>
      </c>
      <c r="AQ14" s="46" t="n">
        <v>104088000</v>
      </c>
      <c r="AR14" s="46" t="n">
        <v>404720000</v>
      </c>
      <c r="AS14" s="46" t="n">
        <v>370000000</v>
      </c>
      <c r="AT14" s="47" t="n">
        <f aca="false">644512450+9650000</f>
        <v>654162450</v>
      </c>
      <c r="AU14" s="46" t="n">
        <f aca="false">SUMA(AQ14:AT14)</f>
        <v>1532970450</v>
      </c>
      <c r="AV14" s="46" t="n">
        <v>0</v>
      </c>
      <c r="AW14" s="46" t="n">
        <v>168333360</v>
      </c>
      <c r="AX14" s="46" t="n">
        <v>53979000</v>
      </c>
      <c r="AY14" s="47" t="n">
        <v>0</v>
      </c>
      <c r="AZ14" s="48" t="n">
        <f aca="false">SUMA(AV14:AY14)</f>
        <v>222312360</v>
      </c>
      <c r="BA14" s="49"/>
      <c r="BB14" s="49"/>
      <c r="BC14" s="49" t="s">
        <v>107</v>
      </c>
      <c r="BD14" s="51" t="s">
        <v>108</v>
      </c>
    </row>
    <row collapsed="false" customFormat="true" customHeight="true" hidden="false" ht="37.5" outlineLevel="0" r="15" s="52">
      <c r="A15" s="34" t="n">
        <f aca="false">VLOOKUP(B15,['file:///Users/user/Downloads/10. MUSI BOSA CORTE 31 DE DICIEMBRE 2016_INSUMO CONTRALORIA.xls']Hoja2!$B$47:$C$66,2,0)</f>
        <v>7</v>
      </c>
      <c r="B15" s="35" t="s">
        <v>43</v>
      </c>
      <c r="C15" s="34" t="n">
        <f aca="false">VLOOKUP(E15,['file:///Users/user/Downloads/10. MUSI BOSA CORTE 31 DE DICIEMBRE 2016_INSUMO CONTRALORIA.xls']Hoja2!$B$8:$C$10,2,0)</f>
        <v>1</v>
      </c>
      <c r="D15" s="113" t="s">
        <v>359</v>
      </c>
      <c r="E15" s="36" t="s">
        <v>44</v>
      </c>
      <c r="F15" s="34" t="n">
        <f aca="false">VLOOKUP(G15,['file:///Users/user/Downloads/10. MUSI BOSA CORTE 31 DE DICIEMBRE 2016_INSUMO CONTRALORIA.xls']Hoja2!$B$12:$C$40,2,0)</f>
        <v>5</v>
      </c>
      <c r="G15" s="36" t="s">
        <v>100</v>
      </c>
      <c r="H15" s="37" t="n">
        <v>336</v>
      </c>
      <c r="I15" s="36" t="s">
        <v>109</v>
      </c>
      <c r="J15" s="38" t="n">
        <f aca="false">VLOOKUP(K15,['file:///Users/user/Downloads/10. MUSI BOSA CORTE 31 DE DICIEMBRE 2016_INSUMO CONTRALORIA.xls']Hoja1!$D$81:$G$158,2,0)</f>
        <v>15</v>
      </c>
      <c r="K15" s="39" t="s">
        <v>110</v>
      </c>
      <c r="L15" s="38" t="n">
        <v>832</v>
      </c>
      <c r="M15" s="39" t="s">
        <v>103</v>
      </c>
      <c r="N15" s="38" t="n">
        <v>1</v>
      </c>
      <c r="O15" s="39" t="s">
        <v>56</v>
      </c>
      <c r="P15" s="40" t="n">
        <v>4000</v>
      </c>
      <c r="Q15" s="36" t="s">
        <v>63</v>
      </c>
      <c r="R15" s="36" t="s">
        <v>111</v>
      </c>
      <c r="S15" s="39" t="str">
        <f aca="false">VLOOKUP(K15,['file:///Users/user/Downloads/10. MUSI BOSA CORTE 31 DE DICIEMBRE 2016_INSUMO CONTRALORIA.xls']Hoja1!$D$81:$G$158,4,0)</f>
        <v>5. GOBIERNO </v>
      </c>
      <c r="T15" s="39" t="str">
        <f aca="false">VLOOKUP(K15,['file:///Users/user/Downloads/10. MUSI BOSA CORTE 31 DE DICIEMBRE 2016_INSUMO CONTRALORIA.xls']Hoja1!$D$81:$G$158,3,0)</f>
        <v>Espacios y procesos de participación ciudadana fortalecidos </v>
      </c>
      <c r="U15" s="35" t="s">
        <v>52</v>
      </c>
      <c r="V15" s="41" t="n">
        <v>1</v>
      </c>
      <c r="W15" s="42" t="n">
        <f aca="false">AK15/P15</f>
        <v>0.83775</v>
      </c>
      <c r="X15" s="42" t="n">
        <f aca="false">V15*W15</f>
        <v>0.83775</v>
      </c>
      <c r="Y15" s="42" t="n">
        <f aca="false">AP15/P15</f>
        <v>1.07825</v>
      </c>
      <c r="Z15" s="42" t="n">
        <f aca="false">Y15*V15</f>
        <v>1.07825</v>
      </c>
      <c r="AA15" s="38" t="n">
        <v>0</v>
      </c>
      <c r="AB15" s="40" t="n">
        <v>1000</v>
      </c>
      <c r="AC15" s="40" t="n">
        <v>1000</v>
      </c>
      <c r="AD15" s="40" t="n">
        <v>1000</v>
      </c>
      <c r="AE15" s="40" t="n">
        <v>1000</v>
      </c>
      <c r="AF15" s="40" t="n">
        <f aca="false">SI(U15="Constante";PROMEDIO(AB15;AC15;AD15;AE15);SI(U15="Suma";SUMA(AB15;AC15;AD15;AE15);0))</f>
        <v>4000</v>
      </c>
      <c r="AG15" s="40" t="n">
        <v>1000</v>
      </c>
      <c r="AH15" s="40" t="n">
        <f aca="false">1365+436</f>
        <v>1801</v>
      </c>
      <c r="AI15" s="43" t="n">
        <v>550</v>
      </c>
      <c r="AJ15" s="44" t="n">
        <v>0</v>
      </c>
      <c r="AK15" s="40" t="n">
        <f aca="false">SI(U15="Constante";PROMEDIO(AG15;AH15;AI15;AJ15);SI(U15="Suma";SUMA(AG15;AH15;AI15;AJ15);0))</f>
        <v>3351</v>
      </c>
      <c r="AL15" s="40" t="n">
        <v>1996</v>
      </c>
      <c r="AM15" s="43" t="n">
        <f aca="false">1331+906</f>
        <v>2237</v>
      </c>
      <c r="AN15" s="45" t="n">
        <v>80</v>
      </c>
      <c r="AO15" s="45" t="n">
        <v>0</v>
      </c>
      <c r="AP15" s="40" t="n">
        <f aca="false">SI(U15="Constante";PROMEDIO(AL15;AM15;AN15;AO15);SI(U15="Suma";SUMA(AL15;AM15;AN15;AO15);0))</f>
        <v>4313</v>
      </c>
      <c r="AQ15" s="46" t="n">
        <v>332171000</v>
      </c>
      <c r="AR15" s="46" t="n">
        <v>227767373</v>
      </c>
      <c r="AS15" s="46" t="n">
        <v>160790116</v>
      </c>
      <c r="AT15" s="47" t="n">
        <v>0</v>
      </c>
      <c r="AU15" s="46" t="n">
        <f aca="false">SUMA(AQ15:AT15)</f>
        <v>720728489</v>
      </c>
      <c r="AV15" s="46" t="n">
        <v>0</v>
      </c>
      <c r="AW15" s="46" t="n">
        <v>10471874</v>
      </c>
      <c r="AX15" s="46" t="n">
        <v>0</v>
      </c>
      <c r="AY15" s="47" t="n">
        <v>0</v>
      </c>
      <c r="AZ15" s="48" t="n">
        <f aca="false">SUMA(AV15:AY15)</f>
        <v>10471874</v>
      </c>
      <c r="BA15" s="49"/>
      <c r="BB15" s="49"/>
      <c r="BC15" s="49" t="s">
        <v>65</v>
      </c>
      <c r="BD15" s="51" t="s">
        <v>112</v>
      </c>
    </row>
    <row collapsed="false" customFormat="true" customHeight="true" hidden="false" ht="37.5" outlineLevel="0" r="16" s="52">
      <c r="A16" s="34" t="n">
        <f aca="false">VLOOKUP(B16,['file:///Users/user/Downloads/10. MUSI BOSA CORTE 31 DE DICIEMBRE 2016_INSUMO CONTRALORIA.xls']Hoja2!$B$47:$C$66,2,0)</f>
        <v>7</v>
      </c>
      <c r="B16" s="35" t="s">
        <v>43</v>
      </c>
      <c r="C16" s="34" t="n">
        <f aca="false">VLOOKUP(E16,['file:///Users/user/Downloads/10. MUSI BOSA CORTE 31 DE DICIEMBRE 2016_INSUMO CONTRALORIA.xls']Hoja2!$B$8:$C$10,2,0)</f>
        <v>1</v>
      </c>
      <c r="D16" s="113" t="s">
        <v>359</v>
      </c>
      <c r="E16" s="36" t="s">
        <v>44</v>
      </c>
      <c r="F16" s="34" t="n">
        <f aca="false">VLOOKUP(G16,['file:///Users/user/Downloads/10. MUSI BOSA CORTE 31 DE DICIEMBRE 2016_INSUMO CONTRALORIA.xls']Hoja2!$B$12:$C$40,2,0)</f>
        <v>5</v>
      </c>
      <c r="G16" s="36" t="s">
        <v>100</v>
      </c>
      <c r="H16" s="37" t="n">
        <v>337</v>
      </c>
      <c r="I16" s="36" t="s">
        <v>113</v>
      </c>
      <c r="J16" s="38" t="n">
        <f aca="false">VLOOKUP(K16,['file:///Users/user/Downloads/10. MUSI BOSA CORTE 31 DE DICIEMBRE 2016_INSUMO CONTRALORIA.xls']Hoja1!$D$81:$G$158,2,0)</f>
        <v>18</v>
      </c>
      <c r="K16" s="39" t="s">
        <v>114</v>
      </c>
      <c r="L16" s="38" t="n">
        <v>832</v>
      </c>
      <c r="M16" s="39" t="s">
        <v>103</v>
      </c>
      <c r="N16" s="38" t="n">
        <v>5</v>
      </c>
      <c r="O16" s="39" t="s">
        <v>115</v>
      </c>
      <c r="P16" s="40" t="n">
        <v>40</v>
      </c>
      <c r="Q16" s="36" t="s">
        <v>116</v>
      </c>
      <c r="R16" s="36" t="s">
        <v>117</v>
      </c>
      <c r="S16" s="39" t="str">
        <f aca="false">VLOOKUP(K16,['file:///Users/user/Downloads/10. MUSI BOSA CORTE 31 DE DICIEMBRE 2016_INSUMO CONTRALORIA.xls']Hoja1!$D$81:$G$158,4,0)</f>
        <v>10. SDIS</v>
      </c>
      <c r="T16" s="39" t="str">
        <f aca="false">VLOOKUP(K16,['file:///Users/user/Downloads/10. MUSI BOSA CORTE 31 DE DICIEMBRE 2016_INSUMO CONTRALORIA.xls']Hoja1!$D$81:$G$158,3,0)</f>
        <v>Protección  integral a personas y familias en situación de vulneración</v>
      </c>
      <c r="U16" s="35" t="s">
        <v>52</v>
      </c>
      <c r="V16" s="41" t="n">
        <v>1</v>
      </c>
      <c r="W16" s="42" t="n">
        <f aca="false">AK16/P16</f>
        <v>1</v>
      </c>
      <c r="X16" s="42" t="n">
        <f aca="false">V16*W16</f>
        <v>1</v>
      </c>
      <c r="Y16" s="42" t="n">
        <f aca="false">AP16/P16</f>
        <v>1</v>
      </c>
      <c r="Z16" s="42" t="n">
        <f aca="false">Y16*V16</f>
        <v>1</v>
      </c>
      <c r="AA16" s="38" t="n">
        <v>0</v>
      </c>
      <c r="AB16" s="40" t="n">
        <v>10</v>
      </c>
      <c r="AC16" s="40" t="n">
        <v>10</v>
      </c>
      <c r="AD16" s="40" t="n">
        <v>10</v>
      </c>
      <c r="AE16" s="40" t="n">
        <v>10</v>
      </c>
      <c r="AF16" s="40" t="n">
        <f aca="false">SI(U16="Constante";PROMEDIO(AB16;AC16;AD16;AE16);SI(U16="Suma";SUMA(AB16;AC16;AD16;AE16);0))</f>
        <v>40</v>
      </c>
      <c r="AG16" s="40" t="n">
        <v>10</v>
      </c>
      <c r="AH16" s="40" t="n">
        <v>20</v>
      </c>
      <c r="AI16" s="43" t="n">
        <v>10</v>
      </c>
      <c r="AJ16" s="44" t="n">
        <v>0</v>
      </c>
      <c r="AK16" s="40" t="n">
        <f aca="false">SI(U16="Constante";PROMEDIO(AG16;AH16;AI16;AJ16);SI(U16="Suma";SUMA(AG16;AH16;AI16;AJ16);0))</f>
        <v>40</v>
      </c>
      <c r="AL16" s="40" t="n">
        <v>10</v>
      </c>
      <c r="AM16" s="43" t="n">
        <v>20</v>
      </c>
      <c r="AN16" s="45" t="n">
        <v>10</v>
      </c>
      <c r="AO16" s="45" t="n">
        <v>0</v>
      </c>
      <c r="AP16" s="40" t="n">
        <f aca="false">SI(U16="Constante";PROMEDIO(AL16;AM16;AN16;AO16);SI(U16="Suma";SUMA(AL16;AM16;AN16;AO16);0))</f>
        <v>40</v>
      </c>
      <c r="AQ16" s="46" t="n">
        <v>196000000</v>
      </c>
      <c r="AR16" s="46" t="n">
        <v>230000000</v>
      </c>
      <c r="AS16" s="46" t="n">
        <v>107000000</v>
      </c>
      <c r="AT16" s="47" t="n">
        <v>0</v>
      </c>
      <c r="AU16" s="46" t="n">
        <f aca="false">SUMA(AQ16:AT16)</f>
        <v>533000000</v>
      </c>
      <c r="AV16" s="46" t="n">
        <v>0</v>
      </c>
      <c r="AW16" s="46" t="n">
        <v>0</v>
      </c>
      <c r="AX16" s="46" t="n">
        <v>0</v>
      </c>
      <c r="AY16" s="47" t="n">
        <v>0</v>
      </c>
      <c r="AZ16" s="48" t="n">
        <f aca="false">SUMA(AV16:AY16)</f>
        <v>0</v>
      </c>
      <c r="BA16" s="49"/>
      <c r="BB16" s="49"/>
      <c r="BC16" s="49" t="s">
        <v>65</v>
      </c>
      <c r="BD16" s="51" t="s">
        <v>118</v>
      </c>
    </row>
    <row collapsed="false" customFormat="true" customHeight="true" hidden="false" ht="37.5" outlineLevel="0" r="17" s="52">
      <c r="A17" s="34" t="n">
        <f aca="false">VLOOKUP(B17,['file:///Users/user/Downloads/10. MUSI BOSA CORTE 31 DE DICIEMBRE 2016_INSUMO CONTRALORIA.xls']Hoja2!$B$47:$C$66,2,0)</f>
        <v>7</v>
      </c>
      <c r="B17" s="35" t="s">
        <v>43</v>
      </c>
      <c r="C17" s="34" t="n">
        <f aca="false">VLOOKUP(E17,['file:///Users/user/Downloads/10. MUSI BOSA CORTE 31 DE DICIEMBRE 2016_INSUMO CONTRALORIA.xls']Hoja2!$B$8:$C$10,2,0)</f>
        <v>1</v>
      </c>
      <c r="D17" s="113" t="s">
        <v>359</v>
      </c>
      <c r="E17" s="36" t="s">
        <v>44</v>
      </c>
      <c r="F17" s="34" t="n">
        <f aca="false">VLOOKUP(G17,['file:///Users/user/Downloads/10. MUSI BOSA CORTE 31 DE DICIEMBRE 2016_INSUMO CONTRALORIA.xls']Hoja2!$B$12:$C$40,2,0)</f>
        <v>5</v>
      </c>
      <c r="G17" s="36" t="s">
        <v>100</v>
      </c>
      <c r="H17" s="37" t="n">
        <v>339</v>
      </c>
      <c r="I17" s="36" t="s">
        <v>119</v>
      </c>
      <c r="J17" s="38" t="n">
        <f aca="false">VLOOKUP(K17,['file:///Users/user/Downloads/10. MUSI BOSA CORTE 31 DE DICIEMBRE 2016_INSUMO CONTRALORIA.xls']Hoja1!$D$81:$G$158,2,0)</f>
        <v>15</v>
      </c>
      <c r="K17" s="39" t="s">
        <v>110</v>
      </c>
      <c r="L17" s="38" t="n">
        <v>832</v>
      </c>
      <c r="M17" s="39" t="s">
        <v>103</v>
      </c>
      <c r="N17" s="38" t="n">
        <v>2</v>
      </c>
      <c r="O17" s="39" t="s">
        <v>56</v>
      </c>
      <c r="P17" s="40" t="n">
        <v>1600</v>
      </c>
      <c r="Q17" s="36" t="s">
        <v>63</v>
      </c>
      <c r="R17" s="36" t="s">
        <v>120</v>
      </c>
      <c r="S17" s="39" t="str">
        <f aca="false">VLOOKUP(K17,['file:///Users/user/Downloads/10. MUSI BOSA CORTE 31 DE DICIEMBRE 2016_INSUMO CONTRALORIA.xls']Hoja1!$D$81:$G$158,4,0)</f>
        <v>5. GOBIERNO </v>
      </c>
      <c r="T17" s="39" t="str">
        <f aca="false">VLOOKUP(K17,['file:///Users/user/Downloads/10. MUSI BOSA CORTE 31 DE DICIEMBRE 2016_INSUMO CONTRALORIA.xls']Hoja1!$D$81:$G$158,3,0)</f>
        <v>Espacios y procesos de participación ciudadana fortalecidos </v>
      </c>
      <c r="U17" s="35" t="s">
        <v>52</v>
      </c>
      <c r="V17" s="41" t="n">
        <v>1</v>
      </c>
      <c r="W17" s="42" t="n">
        <f aca="false">AK17/P17</f>
        <v>1.12625</v>
      </c>
      <c r="X17" s="42" t="n">
        <f aca="false">V17*W17</f>
        <v>1.12625</v>
      </c>
      <c r="Y17" s="42" t="n">
        <f aca="false">AP17/P17</f>
        <v>1.148125</v>
      </c>
      <c r="Z17" s="42" t="n">
        <f aca="false">Y17*V17</f>
        <v>1.148125</v>
      </c>
      <c r="AA17" s="38" t="n">
        <v>0</v>
      </c>
      <c r="AB17" s="40" t="n">
        <v>400</v>
      </c>
      <c r="AC17" s="40" t="n">
        <v>400</v>
      </c>
      <c r="AD17" s="40" t="n">
        <v>400</v>
      </c>
      <c r="AE17" s="40" t="n">
        <v>400</v>
      </c>
      <c r="AF17" s="40" t="n">
        <f aca="false">SI(U17="Constante";PROMEDIO(AB17;AC17;AD17;AE17);SI(U17="Suma";SUMA(AB17;AC17;AD17;AE17);0))</f>
        <v>1600</v>
      </c>
      <c r="AG17" s="40" t="n">
        <v>400</v>
      </c>
      <c r="AH17" s="40" t="n">
        <v>1002</v>
      </c>
      <c r="AI17" s="43" t="n">
        <v>0</v>
      </c>
      <c r="AJ17" s="44" t="n">
        <v>400</v>
      </c>
      <c r="AK17" s="40" t="n">
        <f aca="false">SI(U17="Constante";PROMEDIO(AG17;AH17;AI17;AJ17);SI(U17="Suma";SUMA(AG17;AH17;AI17;AJ17);0))</f>
        <v>1802</v>
      </c>
      <c r="AL17" s="40" t="n">
        <v>410</v>
      </c>
      <c r="AM17" s="43" t="n">
        <v>1427</v>
      </c>
      <c r="AN17" s="45" t="n">
        <v>0</v>
      </c>
      <c r="AO17" s="45" t="n">
        <v>0</v>
      </c>
      <c r="AP17" s="40" t="n">
        <f aca="false">SI(U17="Constante";PROMEDIO(AL17;AM17;AN17;AO17);SI(U17="Suma";SUMA(AL17;AM17;AN17;AO17);0))</f>
        <v>1837</v>
      </c>
      <c r="AQ17" s="46" t="n">
        <v>139810000</v>
      </c>
      <c r="AR17" s="46" t="n">
        <v>143341819</v>
      </c>
      <c r="AS17" s="46" t="n">
        <v>0</v>
      </c>
      <c r="AT17" s="47" t="n">
        <v>171755000</v>
      </c>
      <c r="AU17" s="46" t="n">
        <f aca="false">SUMA(AQ17:AT17)</f>
        <v>454906819</v>
      </c>
      <c r="AV17" s="46" t="n">
        <v>0</v>
      </c>
      <c r="AW17" s="46" t="n">
        <v>0</v>
      </c>
      <c r="AX17" s="46" t="n">
        <v>0</v>
      </c>
      <c r="AY17" s="47" t="n">
        <v>0</v>
      </c>
      <c r="AZ17" s="48" t="n">
        <f aca="false">SUMA(AV17:AY17)</f>
        <v>0</v>
      </c>
      <c r="BA17" s="49"/>
      <c r="BB17" s="49"/>
      <c r="BC17" s="49" t="s">
        <v>65</v>
      </c>
      <c r="BD17" s="51"/>
    </row>
    <row collapsed="false" customFormat="true" customHeight="true" hidden="false" ht="37.5" outlineLevel="0" r="18" s="52">
      <c r="A18" s="34" t="n">
        <f aca="false">VLOOKUP(B18,['file:///Users/user/Downloads/10. MUSI BOSA CORTE 31 DE DICIEMBRE 2016_INSUMO CONTRALORIA.xls']Hoja2!$B$47:$C$66,2,0)</f>
        <v>7</v>
      </c>
      <c r="B18" s="35" t="s">
        <v>43</v>
      </c>
      <c r="C18" s="34" t="n">
        <f aca="false">VLOOKUP(E18,['file:///Users/user/Downloads/10. MUSI BOSA CORTE 31 DE DICIEMBRE 2016_INSUMO CONTRALORIA.xls']Hoja2!$B$8:$C$10,2,0)</f>
        <v>1</v>
      </c>
      <c r="D18" s="113" t="s">
        <v>359</v>
      </c>
      <c r="E18" s="36" t="s">
        <v>44</v>
      </c>
      <c r="F18" s="34" t="n">
        <f aca="false">VLOOKUP(G18,['file:///Users/user/Downloads/10. MUSI BOSA CORTE 31 DE DICIEMBRE 2016_INSUMO CONTRALORIA.xls']Hoja2!$B$12:$C$40,2,0)</f>
        <v>5</v>
      </c>
      <c r="G18" s="36" t="s">
        <v>100</v>
      </c>
      <c r="H18" s="37" t="n">
        <v>338</v>
      </c>
      <c r="I18" s="36" t="s">
        <v>121</v>
      </c>
      <c r="J18" s="38" t="n">
        <f aca="false">VLOOKUP(K18,['file:///Users/user/Downloads/10. MUSI BOSA CORTE 31 DE DICIEMBRE 2016_INSUMO CONTRALORIA.xls']Hoja1!$D$81:$G$158,2,0)</f>
        <v>19</v>
      </c>
      <c r="K18" s="39" t="s">
        <v>122</v>
      </c>
      <c r="L18" s="38" t="n">
        <v>835</v>
      </c>
      <c r="M18" s="39" t="s">
        <v>123</v>
      </c>
      <c r="N18" s="38" t="n">
        <v>1</v>
      </c>
      <c r="O18" s="39" t="s">
        <v>124</v>
      </c>
      <c r="P18" s="40" t="n">
        <v>8000</v>
      </c>
      <c r="Q18" s="36" t="s">
        <v>125</v>
      </c>
      <c r="R18" s="36" t="s">
        <v>126</v>
      </c>
      <c r="S18" s="39" t="str">
        <f aca="false">VLOOKUP(K18,['file:///Users/user/Downloads/10. MUSI BOSA CORTE 31 DE DICIEMBRE 2016_INSUMO CONTRALORIA.xls']Hoja1!$D$81:$G$158,4,0)</f>
        <v>10. SDIS</v>
      </c>
      <c r="T18" s="39" t="str">
        <f aca="false">VLOOKUP(K18,['file:///Users/user/Downloads/10. MUSI BOSA CORTE 31 DE DICIEMBRE 2016_INSUMO CONTRALORIA.xls']Hoja1!$D$81:$G$158,3,0)</f>
        <v>Protección  integral a personas y familias en situación de vulneración</v>
      </c>
      <c r="U18" s="35" t="s">
        <v>52</v>
      </c>
      <c r="V18" s="41" t="n">
        <v>1</v>
      </c>
      <c r="W18" s="42" t="n">
        <f aca="false">AK18/P18</f>
        <v>1.785</v>
      </c>
      <c r="X18" s="42" t="n">
        <f aca="false">V18*W18</f>
        <v>1.785</v>
      </c>
      <c r="Y18" s="42" t="n">
        <f aca="false">AP18/P18</f>
        <v>1.785</v>
      </c>
      <c r="Z18" s="42" t="n">
        <f aca="false">Y18*V18</f>
        <v>1.785</v>
      </c>
      <c r="AA18" s="38" t="n">
        <v>2000</v>
      </c>
      <c r="AB18" s="40" t="n">
        <v>2000</v>
      </c>
      <c r="AC18" s="40" t="n">
        <v>2000</v>
      </c>
      <c r="AD18" s="40" t="n">
        <v>2000</v>
      </c>
      <c r="AE18" s="40" t="n">
        <v>2000</v>
      </c>
      <c r="AF18" s="40" t="n">
        <f aca="false">SI(U18="Constante";PROMEDIO(AB18;AC18;AD18;AE18);SI(U18="Suma";SUMA(AB18;AC18;AD18;AE18);0))</f>
        <v>8000</v>
      </c>
      <c r="AG18" s="40" t="n">
        <v>2270</v>
      </c>
      <c r="AH18" s="40" t="n">
        <v>2670</v>
      </c>
      <c r="AI18" s="43" t="n">
        <f aca="false">2670+2000</f>
        <v>4670</v>
      </c>
      <c r="AJ18" s="44" t="n">
        <v>4670</v>
      </c>
      <c r="AK18" s="40" t="n">
        <f aca="false">SI(U18="Constante";PROMEDIO(AG18;AH18;AI18;AJ18);SI(U18="Suma";SUMA(AG18;AH18;AI18;AJ18);0))</f>
        <v>14280</v>
      </c>
      <c r="AL18" s="40" t="n">
        <v>2270</v>
      </c>
      <c r="AM18" s="43" t="n">
        <v>2670</v>
      </c>
      <c r="AN18" s="45" t="n">
        <f aca="false">2670+2000</f>
        <v>4670</v>
      </c>
      <c r="AO18" s="45" t="n">
        <v>4670</v>
      </c>
      <c r="AP18" s="40" t="n">
        <f aca="false">SI(U18="Constante";PROMEDIO(AL18;AM18;AN18;AO18);SI(U18="Suma";SUMA(AL18;AM18;AN18;AO18);0))</f>
        <v>14280</v>
      </c>
      <c r="AQ18" s="46" t="n">
        <v>2966400000</v>
      </c>
      <c r="AR18" s="46" t="n">
        <v>4077147262</v>
      </c>
      <c r="AS18" s="46" t="n">
        <f aca="false">7256243333</f>
        <v>7256243333</v>
      </c>
      <c r="AT18" s="47" t="n">
        <v>11057902059</v>
      </c>
      <c r="AU18" s="46" t="n">
        <f aca="false">SUMA(AQ18:AT18)</f>
        <v>25357692654</v>
      </c>
      <c r="AV18" s="46" t="n">
        <v>2326200000</v>
      </c>
      <c r="AW18" s="46" t="n">
        <v>3009423017</v>
      </c>
      <c r="AX18" s="46" t="n">
        <v>4162410916</v>
      </c>
      <c r="AY18" s="47" t="n">
        <v>4162085905</v>
      </c>
      <c r="AZ18" s="48" t="n">
        <f aca="false">SUMA(AV18:AY18)</f>
        <v>13660119838</v>
      </c>
      <c r="BA18" s="49"/>
      <c r="BB18" s="49"/>
      <c r="BC18" s="49" t="s">
        <v>127</v>
      </c>
      <c r="BD18" s="51"/>
    </row>
    <row collapsed="false" customFormat="true" customHeight="true" hidden="false" ht="37.5" outlineLevel="0" r="19" s="52">
      <c r="A19" s="34" t="n">
        <f aca="false">VLOOKUP(B19,['file:///Users/user/Downloads/10. MUSI BOSA CORTE 31 DE DICIEMBRE 2016_INSUMO CONTRALORIA.xls']Hoja2!$B$47:$C$66,2,0)</f>
        <v>7</v>
      </c>
      <c r="B19" s="35" t="s">
        <v>43</v>
      </c>
      <c r="C19" s="34" t="n">
        <f aca="false">VLOOKUP(E19,['file:///Users/user/Downloads/10. MUSI BOSA CORTE 31 DE DICIEMBRE 2016_INSUMO CONTRALORIA.xls']Hoja2!$B$8:$C$10,2,0)</f>
        <v>1</v>
      </c>
      <c r="D19" s="113" t="s">
        <v>359</v>
      </c>
      <c r="E19" s="36" t="s">
        <v>44</v>
      </c>
      <c r="F19" s="34" t="n">
        <f aca="false">VLOOKUP(G19,['file:///Users/user/Downloads/10. MUSI BOSA CORTE 31 DE DICIEMBRE 2016_INSUMO CONTRALORIA.xls']Hoja2!$B$12:$C$40,2,0)</f>
        <v>7</v>
      </c>
      <c r="G19" s="36" t="s">
        <v>128</v>
      </c>
      <c r="H19" s="37" t="n">
        <v>340</v>
      </c>
      <c r="I19" s="36" t="s">
        <v>129</v>
      </c>
      <c r="J19" s="38" t="n">
        <f aca="false">VLOOKUP(K19,['file:///Users/user/Downloads/10. MUSI BOSA CORTE 31 DE DICIEMBRE 2016_INSUMO CONTRALORIA.xls']Hoja1!$D$81:$G$158,2,0)</f>
        <v>21</v>
      </c>
      <c r="K19" s="39" t="s">
        <v>130</v>
      </c>
      <c r="L19" s="38" t="n">
        <v>836</v>
      </c>
      <c r="M19" s="39" t="s">
        <v>131</v>
      </c>
      <c r="N19" s="38" t="n">
        <v>1</v>
      </c>
      <c r="O19" s="39" t="s">
        <v>56</v>
      </c>
      <c r="P19" s="40" t="n">
        <v>2000</v>
      </c>
      <c r="Q19" s="36" t="s">
        <v>63</v>
      </c>
      <c r="R19" s="36" t="s">
        <v>132</v>
      </c>
      <c r="S19" s="39" t="str">
        <f aca="false">VLOOKUP(K19,['file:///Users/user/Downloads/10. MUSI BOSA CORTE 31 DE DICIEMBRE 2016_INSUMO CONTRALORIA.xls']Hoja1!$D$81:$G$158,4,0)</f>
        <v>5. GOBIERNO </v>
      </c>
      <c r="T19" s="39" t="str">
        <f aca="false">VLOOKUP(K19,['file:///Users/user/Downloads/10. MUSI BOSA CORTE 31 DE DICIEMBRE 2016_INSUMO CONTRALORIA.xls']Hoja1!$D$81:$G$158,3,0)</f>
        <v>Prevención, atención y gestión del conflicto en la localidad</v>
      </c>
      <c r="U19" s="35" t="s">
        <v>52</v>
      </c>
      <c r="V19" s="41" t="n">
        <v>1</v>
      </c>
      <c r="W19" s="42" t="n">
        <f aca="false">AK19/P19</f>
        <v>5.8</v>
      </c>
      <c r="X19" s="42" t="n">
        <f aca="false">V19*W19</f>
        <v>5.8</v>
      </c>
      <c r="Y19" s="42" t="n">
        <f aca="false">AP19/P19</f>
        <v>9.3905</v>
      </c>
      <c r="Z19" s="42" t="n">
        <f aca="false">Y19*V19</f>
        <v>9.3905</v>
      </c>
      <c r="AA19" s="38" t="n">
        <v>0</v>
      </c>
      <c r="AB19" s="40" t="n">
        <v>500</v>
      </c>
      <c r="AC19" s="40" t="n">
        <v>500</v>
      </c>
      <c r="AD19" s="40" t="n">
        <v>500</v>
      </c>
      <c r="AE19" s="40" t="n">
        <v>500</v>
      </c>
      <c r="AF19" s="40" t="n">
        <f aca="false">SI(U19="Constante";PROMEDIO(AB19;AC19;AD19;AE19);SI(U19="Suma";SUMA(AB19;AC19;AD19;AE19);0))</f>
        <v>2000</v>
      </c>
      <c r="AG19" s="40" t="n">
        <v>600</v>
      </c>
      <c r="AH19" s="40" t="n">
        <f aca="false">5000+1000+1500</f>
        <v>7500</v>
      </c>
      <c r="AI19" s="43" t="n">
        <f aca="false">3000+500</f>
        <v>3500</v>
      </c>
      <c r="AJ19" s="44" t="n">
        <v>0</v>
      </c>
      <c r="AK19" s="40" t="n">
        <f aca="false">SI(U19="Constante";PROMEDIO(AG19;AH19;AI19;AJ19);SI(U19="Suma";SUMA(AG19;AH19;AI19;AJ19);0))</f>
        <v>11600</v>
      </c>
      <c r="AL19" s="40" t="n">
        <f aca="false">700+350+600</f>
        <v>1650</v>
      </c>
      <c r="AM19" s="43" t="n">
        <f aca="false">1885+1000+2225+2321+2400+2134</f>
        <v>11965</v>
      </c>
      <c r="AN19" s="45" t="n">
        <f aca="false">3000+750+1416</f>
        <v>5166</v>
      </c>
      <c r="AO19" s="45" t="n">
        <v>0</v>
      </c>
      <c r="AP19" s="40" t="n">
        <f aca="false">SI(U19="Constante";PROMEDIO(AL19;AM19;AN19;AO19);SI(U19="Suma";SUMA(AL19;AM19;AN19;AO19);0))</f>
        <v>18781</v>
      </c>
      <c r="AQ19" s="46" t="n">
        <v>90619166</v>
      </c>
      <c r="AR19" s="46" t="n">
        <v>671193571</v>
      </c>
      <c r="AS19" s="46" t="n">
        <f aca="false">294703482/3</f>
        <v>98234494</v>
      </c>
      <c r="AT19" s="47" t="n">
        <v>0</v>
      </c>
      <c r="AU19" s="46" t="n">
        <f aca="false">SUMA(AQ19:AT19)</f>
        <v>860047231</v>
      </c>
      <c r="AV19" s="46" t="n">
        <v>0</v>
      </c>
      <c r="AW19" s="46" t="n">
        <v>270302640</v>
      </c>
      <c r="AX19" s="46" t="n">
        <v>96901161</v>
      </c>
      <c r="AY19" s="47" t="n">
        <v>0</v>
      </c>
      <c r="AZ19" s="48" t="n">
        <f aca="false">SUMA(AV19:AY19)</f>
        <v>367203801</v>
      </c>
      <c r="BA19" s="49"/>
      <c r="BB19" s="49"/>
      <c r="BC19" s="49" t="s">
        <v>107</v>
      </c>
      <c r="BD19" s="51"/>
    </row>
    <row collapsed="false" customFormat="true" customHeight="true" hidden="false" ht="37.5" outlineLevel="0" r="20" s="52">
      <c r="A20" s="34" t="n">
        <f aca="false">VLOOKUP(B20,['file:///Users/user/Downloads/10. MUSI BOSA CORTE 31 DE DICIEMBRE 2016_INSUMO CONTRALORIA.xls']Hoja2!$B$47:$C$66,2,0)</f>
        <v>7</v>
      </c>
      <c r="B20" s="35" t="s">
        <v>43</v>
      </c>
      <c r="C20" s="34" t="n">
        <f aca="false">VLOOKUP(E20,['file:///Users/user/Downloads/10. MUSI BOSA CORTE 31 DE DICIEMBRE 2016_INSUMO CONTRALORIA.xls']Hoja2!$B$8:$C$10,2,0)</f>
        <v>1</v>
      </c>
      <c r="D20" s="113" t="s">
        <v>359</v>
      </c>
      <c r="E20" s="36" t="s">
        <v>44</v>
      </c>
      <c r="F20" s="34" t="n">
        <f aca="false">VLOOKUP(G20,['file:///Users/user/Downloads/10. MUSI BOSA CORTE 31 DE DICIEMBRE 2016_INSUMO CONTRALORIA.xls']Hoja2!$B$12:$C$40,2,0)</f>
        <v>7</v>
      </c>
      <c r="G20" s="36" t="s">
        <v>128</v>
      </c>
      <c r="H20" s="37" t="n">
        <v>341</v>
      </c>
      <c r="I20" s="36" t="s">
        <v>133</v>
      </c>
      <c r="J20" s="38" t="n">
        <f aca="false">VLOOKUP(K20,['file:///Users/user/Downloads/10. MUSI BOSA CORTE 31 DE DICIEMBRE 2016_INSUMO CONTRALORIA.xls']Hoja1!$D$81:$G$158,2,0)</f>
        <v>21</v>
      </c>
      <c r="K20" s="39" t="s">
        <v>130</v>
      </c>
      <c r="L20" s="38" t="n">
        <v>836</v>
      </c>
      <c r="M20" s="39" t="s">
        <v>131</v>
      </c>
      <c r="N20" s="38" t="n">
        <v>2</v>
      </c>
      <c r="O20" s="39" t="s">
        <v>134</v>
      </c>
      <c r="P20" s="40" t="n">
        <v>1000</v>
      </c>
      <c r="Q20" s="36" t="s">
        <v>63</v>
      </c>
      <c r="R20" s="36" t="s">
        <v>135</v>
      </c>
      <c r="S20" s="39" t="str">
        <f aca="false">VLOOKUP(K20,['file:///Users/user/Downloads/10. MUSI BOSA CORTE 31 DE DICIEMBRE 2016_INSUMO CONTRALORIA.xls']Hoja1!$D$81:$G$158,4,0)</f>
        <v>5. GOBIERNO </v>
      </c>
      <c r="T20" s="39" t="str">
        <f aca="false">VLOOKUP(K20,['file:///Users/user/Downloads/10. MUSI BOSA CORTE 31 DE DICIEMBRE 2016_INSUMO CONTRALORIA.xls']Hoja1!$D$81:$G$158,3,0)</f>
        <v>Prevención, atención y gestión del conflicto en la localidad</v>
      </c>
      <c r="U20" s="35" t="s">
        <v>52</v>
      </c>
      <c r="V20" s="41" t="n">
        <v>1</v>
      </c>
      <c r="W20" s="42" t="n">
        <f aca="false">AK20/P20</f>
        <v>3</v>
      </c>
      <c r="X20" s="42" t="n">
        <f aca="false">V20*W20</f>
        <v>3</v>
      </c>
      <c r="Y20" s="42" t="n">
        <f aca="false">AP20/P20</f>
        <v>6.371</v>
      </c>
      <c r="Z20" s="42" t="n">
        <f aca="false">Y20*V20</f>
        <v>6.371</v>
      </c>
      <c r="AA20" s="38" t="n">
        <v>0</v>
      </c>
      <c r="AB20" s="40" t="n">
        <v>250</v>
      </c>
      <c r="AC20" s="40" t="n">
        <v>250</v>
      </c>
      <c r="AD20" s="40" t="n">
        <v>250</v>
      </c>
      <c r="AE20" s="40" t="n">
        <v>250</v>
      </c>
      <c r="AF20" s="40" t="n">
        <f aca="false">SI(U20="Constante";PROMEDIO(AB20;AC20;AD20;AE20);SI(U20="Suma";SUMA(AB20;AC20;AD20;AE20);0))</f>
        <v>1000</v>
      </c>
      <c r="AG20" s="40" t="n">
        <v>250</v>
      </c>
      <c r="AH20" s="40" t="n">
        <f aca="false">1000+1500</f>
        <v>2500</v>
      </c>
      <c r="AI20" s="43" t="n">
        <v>250</v>
      </c>
      <c r="AJ20" s="44" t="n">
        <v>0</v>
      </c>
      <c r="AK20" s="40" t="n">
        <f aca="false">SI(U20="Constante";PROMEDIO(AG20;AH20;AI20;AJ20);SI(U20="Suma";SUMA(AG20;AH20;AI20;AJ20);0))</f>
        <v>3000</v>
      </c>
      <c r="AL20" s="40" t="n">
        <f aca="false">700+1521</f>
        <v>2221</v>
      </c>
      <c r="AM20" s="43" t="n">
        <f aca="false">1000+2400</f>
        <v>3400</v>
      </c>
      <c r="AN20" s="45" t="n">
        <v>750</v>
      </c>
      <c r="AO20" s="45" t="n">
        <v>0</v>
      </c>
      <c r="AP20" s="40" t="n">
        <f aca="false">SI(U20="Constante";PROMEDIO(AL20;AM20;AN20;AO20);SI(U20="Suma";SUMA(AL20;AM20;AN20;AO20);0))</f>
        <v>6371</v>
      </c>
      <c r="AQ20" s="46" t="n">
        <v>88000000</v>
      </c>
      <c r="AR20" s="46" t="n">
        <v>331101570</v>
      </c>
      <c r="AS20" s="46" t="n">
        <v>98234494</v>
      </c>
      <c r="AT20" s="47" t="n">
        <v>0</v>
      </c>
      <c r="AU20" s="46" t="n">
        <f aca="false">SUMA(AQ20:AT20)</f>
        <v>517336064</v>
      </c>
      <c r="AV20" s="46" t="n">
        <v>0</v>
      </c>
      <c r="AW20" s="46" t="n">
        <v>2944000</v>
      </c>
      <c r="AX20" s="46" t="n">
        <v>96901161</v>
      </c>
      <c r="AY20" s="47" t="n">
        <v>0</v>
      </c>
      <c r="AZ20" s="48" t="n">
        <f aca="false">SUMA(AV20:AY20)</f>
        <v>99845161</v>
      </c>
      <c r="BA20" s="55"/>
      <c r="BB20" s="55"/>
      <c r="BC20" s="55" t="s">
        <v>107</v>
      </c>
      <c r="BD20" s="51"/>
    </row>
    <row collapsed="false" customFormat="true" customHeight="true" hidden="false" ht="37.5" outlineLevel="0" r="21" s="52">
      <c r="A21" s="34" t="n">
        <f aca="false">VLOOKUP(B21,['file:///Users/user/Downloads/10. MUSI BOSA CORTE 31 DE DICIEMBRE 2016_INSUMO CONTRALORIA.xls']Hoja2!$B$47:$C$66,2,0)</f>
        <v>7</v>
      </c>
      <c r="B21" s="35" t="s">
        <v>43</v>
      </c>
      <c r="C21" s="34" t="n">
        <f aca="false">VLOOKUP(E21,['file:///Users/user/Downloads/10. MUSI BOSA CORTE 31 DE DICIEMBRE 2016_INSUMO CONTRALORIA.xls']Hoja2!$B$8:$C$10,2,0)</f>
        <v>1</v>
      </c>
      <c r="D21" s="113" t="s">
        <v>359</v>
      </c>
      <c r="E21" s="36" t="s">
        <v>44</v>
      </c>
      <c r="F21" s="34" t="n">
        <f aca="false">VLOOKUP(G21,['file:///Users/user/Downloads/10. MUSI BOSA CORTE 31 DE DICIEMBRE 2016_INSUMO CONTRALORIA.xls']Hoja2!$B$12:$C$40,2,0)</f>
        <v>7</v>
      </c>
      <c r="G21" s="36" t="s">
        <v>128</v>
      </c>
      <c r="H21" s="37" t="n">
        <v>342</v>
      </c>
      <c r="I21" s="36" t="s">
        <v>136</v>
      </c>
      <c r="J21" s="38" t="n">
        <f aca="false">VLOOKUP(K21,['file:///Users/user/Downloads/10. MUSI BOSA CORTE 31 DE DICIEMBRE 2016_INSUMO CONTRALORIA.xls']Hoja1!$D$81:$G$158,2,0)</f>
        <v>22</v>
      </c>
      <c r="K21" s="39" t="s">
        <v>137</v>
      </c>
      <c r="L21" s="38" t="n">
        <v>836</v>
      </c>
      <c r="M21" s="39" t="s">
        <v>131</v>
      </c>
      <c r="N21" s="38" t="n">
        <v>3</v>
      </c>
      <c r="O21" s="39" t="s">
        <v>56</v>
      </c>
      <c r="P21" s="40" t="n">
        <v>1000</v>
      </c>
      <c r="Q21" s="36" t="s">
        <v>63</v>
      </c>
      <c r="R21" s="36" t="s">
        <v>138</v>
      </c>
      <c r="S21" s="56" t="str">
        <f aca="false">VLOOKUP(K21,['file:///Users/user/Downloads/10. MUSI BOSA CORTE 31 DE DICIEMBRE 2016_INSUMO CONTRALORIA.xls']Hoja1!$D$81:$G$158,4,0)</f>
        <v>5. GOBIERNO </v>
      </c>
      <c r="T21" s="57" t="str">
        <f aca="false">VLOOKUP(K21,['file:///Users/user/Downloads/10. MUSI BOSA CORTE 31 DE DICIEMBRE 2016_INSUMO CONTRALORIA.xls']Hoja1!$D$81:$G$158,3,0)</f>
        <v>Prevención, atención y gestión del conflicto en la localidad</v>
      </c>
      <c r="U21" s="58" t="s">
        <v>52</v>
      </c>
      <c r="V21" s="59" t="n">
        <v>1</v>
      </c>
      <c r="W21" s="60" t="n">
        <f aca="false">AK21/P21</f>
        <v>3.25</v>
      </c>
      <c r="X21" s="60" t="n">
        <f aca="false">V21*W21</f>
        <v>3.25</v>
      </c>
      <c r="Y21" s="60" t="n">
        <f aca="false">AP21/P21</f>
        <v>8.246</v>
      </c>
      <c r="Z21" s="60" t="n">
        <f aca="false">Y21*V21</f>
        <v>8.246</v>
      </c>
      <c r="AA21" s="61" t="n">
        <v>0</v>
      </c>
      <c r="AB21" s="62" t="n">
        <v>250</v>
      </c>
      <c r="AC21" s="62" t="n">
        <v>250</v>
      </c>
      <c r="AD21" s="62" t="n">
        <v>250</v>
      </c>
      <c r="AE21" s="62" t="n">
        <v>250</v>
      </c>
      <c r="AF21" s="62" t="n">
        <f aca="false">SI(U21="Constante";PROMEDIO(AB21;AC21;AD21;AE21);SI(U21="Suma";SUMA(AB21;AC21;AD21;AE21);0))</f>
        <v>1000</v>
      </c>
      <c r="AG21" s="62" t="n">
        <v>250</v>
      </c>
      <c r="AH21" s="62" t="n">
        <f aca="false">1000+1500</f>
        <v>2500</v>
      </c>
      <c r="AI21" s="63" t="n">
        <v>500</v>
      </c>
      <c r="AJ21" s="64" t="n">
        <v>0</v>
      </c>
      <c r="AK21" s="62" t="n">
        <f aca="false">SI(U21="Constante";PROMEDIO(AG21;AH21;AI21;AJ21);SI(U21="Suma";SUMA(AG21;AH21;AI21;AJ21);0))</f>
        <v>3250</v>
      </c>
      <c r="AL21" s="65" t="n">
        <f aca="false">700+350+1716</f>
        <v>2766</v>
      </c>
      <c r="AM21" s="63" t="n">
        <f aca="false">1500+2400</f>
        <v>3900</v>
      </c>
      <c r="AN21" s="64" t="n">
        <v>1580</v>
      </c>
      <c r="AO21" s="66" t="n">
        <v>0</v>
      </c>
      <c r="AP21" s="62" t="n">
        <f aca="false">SI(U21="Constante";PROMEDIO(AL21;AM21;AN21;AO21);SI(U21="Suma";SUMA(AL21;AM21;AN21;AO21);0))</f>
        <v>8246</v>
      </c>
      <c r="AQ21" s="49" t="n">
        <v>100000000</v>
      </c>
      <c r="AR21" s="49" t="n">
        <v>331377570</v>
      </c>
      <c r="AS21" s="46" t="n">
        <v>98234494</v>
      </c>
      <c r="AT21" s="67" t="n">
        <v>0</v>
      </c>
      <c r="AU21" s="49" t="n">
        <f aca="false">SUMA(AQ21:AT21)</f>
        <v>529612064</v>
      </c>
      <c r="AV21" s="49" t="n">
        <v>0</v>
      </c>
      <c r="AW21" s="49" t="n">
        <v>3220000</v>
      </c>
      <c r="AX21" s="46" t="n">
        <v>96901160</v>
      </c>
      <c r="AY21" s="67" t="n">
        <v>0</v>
      </c>
      <c r="AZ21" s="49" t="n">
        <f aca="false">SUMA(AV21:AY21)</f>
        <v>100121160</v>
      </c>
      <c r="BA21" s="49"/>
      <c r="BB21" s="49"/>
      <c r="BC21" s="49" t="s">
        <v>107</v>
      </c>
      <c r="BD21" s="68"/>
    </row>
    <row collapsed="false" customFormat="true" customHeight="true" hidden="false" ht="37.5" outlineLevel="0" r="22" s="52">
      <c r="A22" s="34" t="n">
        <f aca="false">VLOOKUP(B22,['file:///Users/user/Downloads/10. MUSI BOSA CORTE 31 DE DICIEMBRE 2016_INSUMO CONTRALORIA.xls']Hoja2!$B$47:$C$66,2,0)</f>
        <v>7</v>
      </c>
      <c r="B22" s="35" t="s">
        <v>43</v>
      </c>
      <c r="C22" s="34" t="n">
        <f aca="false">VLOOKUP(E22,['file:///Users/user/Downloads/10. MUSI BOSA CORTE 31 DE DICIEMBRE 2016_INSUMO CONTRALORIA.xls']Hoja2!$B$8:$C$10,2,0)</f>
        <v>1</v>
      </c>
      <c r="D22" s="113" t="s">
        <v>359</v>
      </c>
      <c r="E22" s="36" t="s">
        <v>44</v>
      </c>
      <c r="F22" s="34" t="n">
        <f aca="false">VLOOKUP(G22,['file:///Users/user/Downloads/10. MUSI BOSA CORTE 31 DE DICIEMBRE 2016_INSUMO CONTRALORIA.xls']Hoja2!$B$12:$C$40,2,0)</f>
        <v>8</v>
      </c>
      <c r="G22" s="36" t="s">
        <v>139</v>
      </c>
      <c r="H22" s="37" t="n">
        <v>343</v>
      </c>
      <c r="I22" s="36" t="s">
        <v>140</v>
      </c>
      <c r="J22" s="38" t="n">
        <f aca="false">VLOOKUP(K22,['file:///Users/user/Downloads/10. MUSI BOSA CORTE 31 DE DICIEMBRE 2016_INSUMO CONTRALORIA.xls']Hoja1!$D$81:$G$158,2,0)</f>
        <v>23</v>
      </c>
      <c r="K22" s="39" t="s">
        <v>141</v>
      </c>
      <c r="L22" s="38" t="n">
        <v>837</v>
      </c>
      <c r="M22" s="39" t="s">
        <v>142</v>
      </c>
      <c r="N22" s="38" t="n">
        <v>1</v>
      </c>
      <c r="O22" s="39" t="s">
        <v>143</v>
      </c>
      <c r="P22" s="40" t="n">
        <v>64</v>
      </c>
      <c r="Q22" s="36" t="s">
        <v>144</v>
      </c>
      <c r="R22" s="36" t="s">
        <v>145</v>
      </c>
      <c r="S22" s="39" t="str">
        <f aca="false">VLOOKUP(K22,['file:///Users/user/Downloads/10. MUSI BOSA CORTE 31 DE DICIEMBRE 2016_INSUMO CONTRALORIA.xls']Hoja1!$D$81:$G$158,4,0)</f>
        <v>2. CULTURA Y RECREACIÓN</v>
      </c>
      <c r="T22" s="69" t="str">
        <f aca="false">VLOOKUP(K22,['file:///Users/user/Downloads/10. MUSI BOSA CORTE 31 DE DICIEMBRE 2016_INSUMO CONTRALORIA.xls']Hoja1!$D$81:$G$158,3,0)</f>
        <v>Espacios artísticos y culturales</v>
      </c>
      <c r="U22" s="70" t="s">
        <v>52</v>
      </c>
      <c r="V22" s="71" t="n">
        <v>1</v>
      </c>
      <c r="W22" s="72" t="n">
        <f aca="false">AK22/P22</f>
        <v>0.859375</v>
      </c>
      <c r="X22" s="72" t="n">
        <f aca="false">V22*W22</f>
        <v>0.859375</v>
      </c>
      <c r="Y22" s="72" t="n">
        <f aca="false">AP22/P22</f>
        <v>0.71875</v>
      </c>
      <c r="Z22" s="72" t="n">
        <f aca="false">Y22*V22</f>
        <v>0.71875</v>
      </c>
      <c r="AA22" s="73" t="n">
        <v>20</v>
      </c>
      <c r="AB22" s="74" t="n">
        <v>16</v>
      </c>
      <c r="AC22" s="74" t="n">
        <v>16</v>
      </c>
      <c r="AD22" s="74" t="n">
        <v>16</v>
      </c>
      <c r="AE22" s="74" t="n">
        <v>16</v>
      </c>
      <c r="AF22" s="74" t="n">
        <f aca="false">SI(U22="Constante";PROMEDIO(AB22;AC22;AD22;AE22);SI(U22="Suma";SUMA(AB22;AC22;AD22;AE22);0))</f>
        <v>64</v>
      </c>
      <c r="AG22" s="74" t="n">
        <v>11</v>
      </c>
      <c r="AH22" s="74" t="n">
        <v>15</v>
      </c>
      <c r="AI22" s="75" t="n">
        <v>18</v>
      </c>
      <c r="AJ22" s="76" t="n">
        <v>11</v>
      </c>
      <c r="AK22" s="74" t="n">
        <f aca="false">SI(U22="Constante";PROMEDIO(AG22;AH22;AI22;AJ22);SI(U22="Suma";SUMA(AG22;AH22;AI22;AJ22);0))</f>
        <v>55</v>
      </c>
      <c r="AL22" s="77" t="n">
        <v>11</v>
      </c>
      <c r="AM22" s="63" t="n">
        <v>15</v>
      </c>
      <c r="AN22" s="64" t="n">
        <v>18</v>
      </c>
      <c r="AO22" s="78" t="n">
        <v>2</v>
      </c>
      <c r="AP22" s="74" t="n">
        <f aca="false">SI(U22="Constante";PROMEDIO(AL22;AM22;AN22;AO22);SI(U22="Suma";SUMA(AL22;AM22;AN22;AO22);0))</f>
        <v>46</v>
      </c>
      <c r="AQ22" s="79" t="n">
        <v>863305000</v>
      </c>
      <c r="AR22" s="79" t="n">
        <v>1091220554</v>
      </c>
      <c r="AS22" s="79" t="n">
        <v>1296755993</v>
      </c>
      <c r="AT22" s="80" t="n">
        <v>899201162</v>
      </c>
      <c r="AU22" s="79" t="n">
        <f aca="false">SUMA(AQ22:AT22)</f>
        <v>4150482709</v>
      </c>
      <c r="AV22" s="79" t="n">
        <v>157787500</v>
      </c>
      <c r="AW22" s="79" t="n">
        <v>704312737</v>
      </c>
      <c r="AX22" s="79" t="n">
        <v>644055847</v>
      </c>
      <c r="AY22" s="80" t="n">
        <v>0</v>
      </c>
      <c r="AZ22" s="81" t="n">
        <f aca="false">SUMA(AV22:AY22)</f>
        <v>1506156084</v>
      </c>
      <c r="BA22" s="82"/>
      <c r="BB22" s="82"/>
      <c r="BC22" s="82" t="s">
        <v>146</v>
      </c>
      <c r="BD22" s="51" t="s">
        <v>147</v>
      </c>
    </row>
    <row collapsed="false" customFormat="true" customHeight="true" hidden="false" ht="37.5" outlineLevel="0" r="23" s="52">
      <c r="A23" s="34" t="n">
        <f aca="false">VLOOKUP(B23,['file:///Users/user/Downloads/10. MUSI BOSA CORTE 31 DE DICIEMBRE 2016_INSUMO CONTRALORIA.xls']Hoja2!$B$47:$C$66,2,0)</f>
        <v>7</v>
      </c>
      <c r="B23" s="35" t="s">
        <v>43</v>
      </c>
      <c r="C23" s="34" t="n">
        <f aca="false">VLOOKUP(E23,['file:///Users/user/Downloads/10. MUSI BOSA CORTE 31 DE DICIEMBRE 2016_INSUMO CONTRALORIA.xls']Hoja2!$B$8:$C$10,2,0)</f>
        <v>1</v>
      </c>
      <c r="D23" s="113" t="s">
        <v>359</v>
      </c>
      <c r="E23" s="36" t="s">
        <v>44</v>
      </c>
      <c r="F23" s="34" t="n">
        <f aca="false">VLOOKUP(G23,['file:///Users/user/Downloads/10. MUSI BOSA CORTE 31 DE DICIEMBRE 2016_INSUMO CONTRALORIA.xls']Hoja2!$B$12:$C$40,2,0)</f>
        <v>8</v>
      </c>
      <c r="G23" s="36" t="s">
        <v>139</v>
      </c>
      <c r="H23" s="37" t="n">
        <v>344</v>
      </c>
      <c r="I23" s="36" t="s">
        <v>148</v>
      </c>
      <c r="J23" s="38" t="n">
        <f aca="false">VLOOKUP(K23,['file:///Users/user/Downloads/10. MUSI BOSA CORTE 31 DE DICIEMBRE 2016_INSUMO CONTRALORIA.xls']Hoja1!$D$81:$G$158,2,0)</f>
        <v>25</v>
      </c>
      <c r="K23" s="39" t="s">
        <v>149</v>
      </c>
      <c r="L23" s="38" t="n">
        <v>837</v>
      </c>
      <c r="M23" s="39" t="s">
        <v>142</v>
      </c>
      <c r="N23" s="38" t="n">
        <v>2</v>
      </c>
      <c r="O23" s="39" t="s">
        <v>150</v>
      </c>
      <c r="P23" s="40" t="n">
        <v>300</v>
      </c>
      <c r="Q23" s="36" t="s">
        <v>63</v>
      </c>
      <c r="R23" s="36" t="s">
        <v>151</v>
      </c>
      <c r="S23" s="39" t="str">
        <f aca="false">VLOOKUP(K23,['file:///Users/user/Downloads/10. MUSI BOSA CORTE 31 DE DICIEMBRE 2016_INSUMO CONTRALORIA.xls']Hoja1!$D$81:$G$158,4,0)</f>
        <v>2. CULTURA Y RECREACIÓN</v>
      </c>
      <c r="T23" s="39" t="str">
        <f aca="false">VLOOKUP(K23,['file:///Users/user/Downloads/10. MUSI BOSA CORTE 31 DE DICIEMBRE 2016_INSUMO CONTRALORIA.xls']Hoja1!$D$81:$G$158,3,0)</f>
        <v>Formación artística y cultural</v>
      </c>
      <c r="U23" s="35" t="s">
        <v>85</v>
      </c>
      <c r="V23" s="41" t="n">
        <v>1</v>
      </c>
      <c r="W23" s="42" t="n">
        <f aca="false">AK23/P23</f>
        <v>1.125</v>
      </c>
      <c r="X23" s="42" t="n">
        <f aca="false">V23*W23</f>
        <v>1.125</v>
      </c>
      <c r="Y23" s="42" t="n">
        <f aca="false">AP23/P23</f>
        <v>0.816666666666667</v>
      </c>
      <c r="Z23" s="42" t="n">
        <f aca="false">Y23*V23</f>
        <v>0.816666666666667</v>
      </c>
      <c r="AA23" s="38" t="n">
        <v>1204</v>
      </c>
      <c r="AB23" s="40" t="n">
        <v>300</v>
      </c>
      <c r="AC23" s="40" t="n">
        <v>300</v>
      </c>
      <c r="AD23" s="40" t="n">
        <v>300</v>
      </c>
      <c r="AE23" s="40" t="n">
        <v>300</v>
      </c>
      <c r="AF23" s="40" t="n">
        <f aca="false">SI(U23="Constante";PROMEDIO(AB23;AC23;AD23;AE23);SI(U23="Suma";SUMA(AB23;AC23;AD23;AE23);0))</f>
        <v>300</v>
      </c>
      <c r="AG23" s="40" t="n">
        <v>300</v>
      </c>
      <c r="AH23" s="40" t="n">
        <v>330</v>
      </c>
      <c r="AI23" s="43" t="n">
        <v>350</v>
      </c>
      <c r="AJ23" s="44" t="n">
        <v>370</v>
      </c>
      <c r="AK23" s="40" t="n">
        <f aca="false">SI(U23="Constante";PROMEDIO(AG23;AH23;AI23;AJ23);SI(U23="Suma";SUMA(AG23;AH23;AI23;AJ23);0))</f>
        <v>337.5</v>
      </c>
      <c r="AL23" s="40" t="n">
        <v>300</v>
      </c>
      <c r="AM23" s="75" t="n">
        <v>330</v>
      </c>
      <c r="AN23" s="83" t="n">
        <v>350</v>
      </c>
      <c r="AO23" s="45" t="n">
        <v>0</v>
      </c>
      <c r="AP23" s="40" t="n">
        <f aca="false">SI(U23="Constante";PROMEDIO(AL23;AM23;AN23;AO23);SI(U23="Suma";SUMA(AL23;AM23;AN23;AO23);0))</f>
        <v>245</v>
      </c>
      <c r="AQ23" s="46" t="n">
        <v>247000000</v>
      </c>
      <c r="AR23" s="46" t="n">
        <v>197200000</v>
      </c>
      <c r="AS23" s="46" t="n">
        <v>200891331</v>
      </c>
      <c r="AT23" s="47" t="n">
        <v>114362617</v>
      </c>
      <c r="AU23" s="46" t="n">
        <f aca="false">SUMA(AQ23:AT23)</f>
        <v>759453948</v>
      </c>
      <c r="AV23" s="46" t="n">
        <v>0</v>
      </c>
      <c r="AW23" s="46" t="n">
        <v>0</v>
      </c>
      <c r="AX23" s="46" t="n">
        <v>118434798</v>
      </c>
      <c r="AY23" s="47" t="n">
        <v>0</v>
      </c>
      <c r="AZ23" s="48" t="n">
        <f aca="false">SUMA(AV23:AY23)</f>
        <v>118434798</v>
      </c>
      <c r="BA23" s="49"/>
      <c r="BB23" s="49"/>
      <c r="BC23" s="49" t="s">
        <v>146</v>
      </c>
      <c r="BD23" s="51" t="s">
        <v>152</v>
      </c>
    </row>
    <row collapsed="false" customFormat="true" customHeight="true" hidden="false" ht="37.5" outlineLevel="0" r="24" s="52">
      <c r="A24" s="34" t="n">
        <f aca="false">VLOOKUP(B24,['file:///Users/user/Downloads/10. MUSI BOSA CORTE 31 DE DICIEMBRE 2016_INSUMO CONTRALORIA.xls']Hoja2!$B$47:$C$66,2,0)</f>
        <v>7</v>
      </c>
      <c r="B24" s="35" t="s">
        <v>43</v>
      </c>
      <c r="C24" s="34" t="n">
        <f aca="false">VLOOKUP(E24,['file:///Users/user/Downloads/10. MUSI BOSA CORTE 31 DE DICIEMBRE 2016_INSUMO CONTRALORIA.xls']Hoja2!$B$8:$C$10,2,0)</f>
        <v>1</v>
      </c>
      <c r="D24" s="113" t="s">
        <v>359</v>
      </c>
      <c r="E24" s="36" t="s">
        <v>44</v>
      </c>
      <c r="F24" s="34" t="n">
        <f aca="false">VLOOKUP(G24,['file:///Users/user/Downloads/10. MUSI BOSA CORTE 31 DE DICIEMBRE 2016_INSUMO CONTRALORIA.xls']Hoja2!$B$12:$C$40,2,0)</f>
        <v>8</v>
      </c>
      <c r="G24" s="36" t="s">
        <v>139</v>
      </c>
      <c r="H24" s="37" t="n">
        <v>345</v>
      </c>
      <c r="I24" s="36" t="s">
        <v>153</v>
      </c>
      <c r="J24" s="38" t="n">
        <f aca="false">VLOOKUP(K24,['file:///Users/user/Downloads/10. MUSI BOSA CORTE 31 DE DICIEMBRE 2016_INSUMO CONTRALORIA.xls']Hoja1!$D$81:$G$158,2,0)</f>
        <v>26</v>
      </c>
      <c r="K24" s="39" t="s">
        <v>154</v>
      </c>
      <c r="L24" s="38" t="n">
        <v>837</v>
      </c>
      <c r="M24" s="39" t="s">
        <v>142</v>
      </c>
      <c r="N24" s="38" t="n">
        <v>4</v>
      </c>
      <c r="O24" s="39" t="s">
        <v>115</v>
      </c>
      <c r="P24" s="40" t="n">
        <v>40</v>
      </c>
      <c r="Q24" s="36" t="s">
        <v>116</v>
      </c>
      <c r="R24" s="36" t="s">
        <v>155</v>
      </c>
      <c r="S24" s="39" t="str">
        <f aca="false">VLOOKUP(K24,['file:///Users/user/Downloads/10. MUSI BOSA CORTE 31 DE DICIEMBRE 2016_INSUMO CONTRALORIA.xls']Hoja1!$D$81:$G$158,4,0)</f>
        <v>2. CULTURA Y RECREACIÓN</v>
      </c>
      <c r="T24" s="39" t="str">
        <f aca="false">VLOOKUP(K24,['file:///Users/user/Downloads/10. MUSI BOSA CORTE 31 DE DICIEMBRE 2016_INSUMO CONTRALORIA.xls']Hoja1!$D$81:$G$158,3,0)</f>
        <v>Formación artística y cultural</v>
      </c>
      <c r="U24" s="35" t="s">
        <v>52</v>
      </c>
      <c r="V24" s="41" t="n">
        <v>1</v>
      </c>
      <c r="W24" s="42" t="n">
        <f aca="false">AK24/P24</f>
        <v>1.125</v>
      </c>
      <c r="X24" s="42" t="n">
        <f aca="false">V24*W24</f>
        <v>1.125</v>
      </c>
      <c r="Y24" s="42" t="n">
        <f aca="false">AP24/P24</f>
        <v>0.875</v>
      </c>
      <c r="Z24" s="42" t="n">
        <f aca="false">Y24*V24</f>
        <v>0.875</v>
      </c>
      <c r="AA24" s="38" t="n">
        <v>40</v>
      </c>
      <c r="AB24" s="40" t="n">
        <v>10</v>
      </c>
      <c r="AC24" s="40" t="n">
        <v>10</v>
      </c>
      <c r="AD24" s="40" t="n">
        <v>10</v>
      </c>
      <c r="AE24" s="40" t="n">
        <v>10</v>
      </c>
      <c r="AF24" s="40" t="n">
        <f aca="false">SI(U24="Constante";PROMEDIO(AB24;AC24;AD24;AE24);SI(U24="Suma";SUMA(AB24;AC24;AD24;AE24);0))</f>
        <v>40</v>
      </c>
      <c r="AG24" s="40" t="n">
        <v>0</v>
      </c>
      <c r="AH24" s="40" t="n">
        <v>15</v>
      </c>
      <c r="AI24" s="43" t="n">
        <v>20</v>
      </c>
      <c r="AJ24" s="44" t="n">
        <v>10</v>
      </c>
      <c r="AK24" s="40" t="n">
        <f aca="false">SI(U24="Constante";PROMEDIO(AG24;AH24;AI24;AJ24);SI(U24="Suma";SUMA(AG24;AH24;AI24;AJ24);0))</f>
        <v>45</v>
      </c>
      <c r="AL24" s="40" t="n">
        <v>0</v>
      </c>
      <c r="AM24" s="43" t="n">
        <v>15</v>
      </c>
      <c r="AN24" s="45" t="n">
        <v>20</v>
      </c>
      <c r="AO24" s="45" t="n">
        <v>0</v>
      </c>
      <c r="AP24" s="40" t="n">
        <f aca="false">SI(U24="Constante";PROMEDIO(AL24;AM24;AN24;AO24);SI(U24="Suma";SUMA(AL24;AM24;AN24;AO24);0))</f>
        <v>35</v>
      </c>
      <c r="AQ24" s="46" t="n">
        <v>237500000</v>
      </c>
      <c r="AR24" s="46" t="n">
        <v>298951521</v>
      </c>
      <c r="AS24" s="46" t="n">
        <v>281852346</v>
      </c>
      <c r="AT24" s="47" t="n">
        <v>231000000</v>
      </c>
      <c r="AU24" s="46" t="n">
        <f aca="false">SUMA(AQ24:AT24)</f>
        <v>1049303867</v>
      </c>
      <c r="AV24" s="46" t="n">
        <v>0</v>
      </c>
      <c r="AW24" s="46" t="n">
        <v>89685456</v>
      </c>
      <c r="AX24" s="46" t="n">
        <v>180385501</v>
      </c>
      <c r="AY24" s="47" t="n">
        <v>0</v>
      </c>
      <c r="AZ24" s="48" t="n">
        <f aca="false">SUMA(AV24:AY24)</f>
        <v>270070957</v>
      </c>
      <c r="BA24" s="49"/>
      <c r="BB24" s="49"/>
      <c r="BC24" s="49" t="s">
        <v>146</v>
      </c>
      <c r="BD24" s="51" t="s">
        <v>156</v>
      </c>
    </row>
    <row collapsed="false" customFormat="true" customHeight="true" hidden="false" ht="37.5" outlineLevel="0" r="25" s="52">
      <c r="A25" s="34" t="n">
        <f aca="false">VLOOKUP(B25,['file:///Users/user/Downloads/10. MUSI BOSA CORTE 31 DE DICIEMBRE 2016_INSUMO CONTRALORIA.xls']Hoja2!$B$47:$C$66,2,0)</f>
        <v>7</v>
      </c>
      <c r="B25" s="35" t="s">
        <v>43</v>
      </c>
      <c r="C25" s="34" t="n">
        <f aca="false">VLOOKUP(E25,['file:///Users/user/Downloads/10. MUSI BOSA CORTE 31 DE DICIEMBRE 2016_INSUMO CONTRALORIA.xls']Hoja2!$B$8:$C$10,2,0)</f>
        <v>1</v>
      </c>
      <c r="D25" s="113" t="s">
        <v>359</v>
      </c>
      <c r="E25" s="36" t="s">
        <v>44</v>
      </c>
      <c r="F25" s="34" t="n">
        <f aca="false">VLOOKUP(G25,['file:///Users/user/Downloads/10. MUSI BOSA CORTE 31 DE DICIEMBRE 2016_INSUMO CONTRALORIA.xls']Hoja2!$B$12:$C$40,2,0)</f>
        <v>8</v>
      </c>
      <c r="G25" s="36" t="s">
        <v>139</v>
      </c>
      <c r="H25" s="37" t="n">
        <v>346</v>
      </c>
      <c r="I25" s="36" t="s">
        <v>157</v>
      </c>
      <c r="J25" s="38" t="n">
        <f aca="false">VLOOKUP(K25,['file:///Users/user/Downloads/10. MUSI BOSA CORTE 31 DE DICIEMBRE 2016_INSUMO CONTRALORIA.xls']Hoja1!$D$81:$G$158,2,0)</f>
        <v>28</v>
      </c>
      <c r="K25" s="39" t="s">
        <v>158</v>
      </c>
      <c r="L25" s="38" t="n">
        <v>837</v>
      </c>
      <c r="M25" s="39" t="s">
        <v>142</v>
      </c>
      <c r="N25" s="38"/>
      <c r="O25" s="39" t="s">
        <v>115</v>
      </c>
      <c r="P25" s="40" t="n">
        <v>1</v>
      </c>
      <c r="Q25" s="36" t="s">
        <v>159</v>
      </c>
      <c r="R25" s="36" t="s">
        <v>160</v>
      </c>
      <c r="S25" s="39" t="str">
        <f aca="false">VLOOKUP(K25,['file:///Users/user/Downloads/10. MUSI BOSA CORTE 31 DE DICIEMBRE 2016_INSUMO CONTRALORIA.xls']Hoja1!$D$81:$G$158,4,0)</f>
        <v>2. CULTURA Y RECREACIÓN</v>
      </c>
      <c r="T25" s="39" t="str">
        <f aca="false">VLOOKUP(K25,['file:///Users/user/Downloads/10. MUSI BOSA CORTE 31 DE DICIEMBRE 2016_INSUMO CONTRALORIA.xls']Hoja1!$D$81:$G$158,3,0)</f>
        <v>Promoción turística y posicionamiento de la localidad como destino turístico</v>
      </c>
      <c r="U25" s="35" t="s">
        <v>52</v>
      </c>
      <c r="V25" s="41" t="n">
        <v>1</v>
      </c>
      <c r="W25" s="42" t="n">
        <f aca="false">AK25/P25</f>
        <v>1</v>
      </c>
      <c r="X25" s="42" t="n">
        <f aca="false">V25*W25</f>
        <v>1</v>
      </c>
      <c r="Y25" s="42" t="n">
        <f aca="false">AP25/P25</f>
        <v>1</v>
      </c>
      <c r="Z25" s="42" t="n">
        <f aca="false">Y25*V25</f>
        <v>1</v>
      </c>
      <c r="AA25" s="38" t="n">
        <v>0</v>
      </c>
      <c r="AB25" s="40"/>
      <c r="AC25" s="40"/>
      <c r="AD25" s="40"/>
      <c r="AE25" s="40"/>
      <c r="AF25" s="40" t="n">
        <f aca="false">SI(U25="Constante";PROMEDIO(AB25;AC25;AD25;AE25);SI(U25="Suma";SUMA(AB25;AC25;AD25;AE25);0))</f>
        <v>0</v>
      </c>
      <c r="AG25" s="40" t="n">
        <v>0</v>
      </c>
      <c r="AH25" s="40" t="n">
        <v>1</v>
      </c>
      <c r="AI25" s="43" t="n">
        <v>0</v>
      </c>
      <c r="AJ25" s="44" t="n">
        <v>0</v>
      </c>
      <c r="AK25" s="40" t="n">
        <f aca="false">SI(U25="Constante";PROMEDIO(AG25;AH25;AI25;AJ25);SI(U25="Suma";SUMA(AG25;AH25;AI25;AJ25);0))</f>
        <v>1</v>
      </c>
      <c r="AL25" s="40" t="n">
        <v>0</v>
      </c>
      <c r="AM25" s="43" t="n">
        <v>1</v>
      </c>
      <c r="AN25" s="45" t="n">
        <v>0</v>
      </c>
      <c r="AO25" s="45" t="n">
        <v>0</v>
      </c>
      <c r="AP25" s="40" t="n">
        <f aca="false">SI(U25="Constante";PROMEDIO(AL25;AM25;AN25;AO25);SI(U25="Suma";SUMA(AL25;AM25;AN25;AO25);0))</f>
        <v>1</v>
      </c>
      <c r="AQ25" s="46" t="n">
        <v>0</v>
      </c>
      <c r="AR25" s="46" t="n">
        <v>130218158</v>
      </c>
      <c r="AS25" s="46" t="n">
        <v>0</v>
      </c>
      <c r="AT25" s="47" t="n">
        <v>0</v>
      </c>
      <c r="AU25" s="46" t="n">
        <f aca="false">SUMA(AQ25:AT25)</f>
        <v>130218158</v>
      </c>
      <c r="AV25" s="46" t="n">
        <v>0</v>
      </c>
      <c r="AW25" s="46" t="n">
        <v>65109079</v>
      </c>
      <c r="AX25" s="46" t="n">
        <v>172000000</v>
      </c>
      <c r="AY25" s="47" t="n">
        <v>0</v>
      </c>
      <c r="AZ25" s="48" t="n">
        <f aca="false">SUMA(AV25:AY25)</f>
        <v>237109079</v>
      </c>
      <c r="BA25" s="49"/>
      <c r="BB25" s="49"/>
      <c r="BC25" s="49" t="s">
        <v>146</v>
      </c>
      <c r="BD25" s="51"/>
    </row>
    <row collapsed="false" customFormat="true" customHeight="true" hidden="false" ht="37.5" outlineLevel="0" r="26" s="52">
      <c r="A26" s="34" t="n">
        <f aca="false">VLOOKUP(B26,['file:///Users/user/Downloads/10. MUSI BOSA CORTE 31 DE DICIEMBRE 2016_INSUMO CONTRALORIA.xls']Hoja2!$B$47:$C$66,2,0)</f>
        <v>7</v>
      </c>
      <c r="B26" s="35" t="s">
        <v>43</v>
      </c>
      <c r="C26" s="34" t="n">
        <f aca="false">VLOOKUP(E26,['file:///Users/user/Downloads/10. MUSI BOSA CORTE 31 DE DICIEMBRE 2016_INSUMO CONTRALORIA.xls']Hoja2!$B$8:$C$10,2,0)</f>
        <v>1</v>
      </c>
      <c r="D26" s="113" t="s">
        <v>359</v>
      </c>
      <c r="E26" s="36" t="s">
        <v>44</v>
      </c>
      <c r="F26" s="34" t="n">
        <f aca="false">VLOOKUP(G26,['file:///Users/user/Downloads/10. MUSI BOSA CORTE 31 DE DICIEMBRE 2016_INSUMO CONTRALORIA.xls']Hoja2!$B$12:$C$40,2,0)</f>
        <v>8</v>
      </c>
      <c r="G26" s="36" t="s">
        <v>139</v>
      </c>
      <c r="H26" s="37" t="n">
        <v>355</v>
      </c>
      <c r="I26" s="36" t="s">
        <v>161</v>
      </c>
      <c r="J26" s="38" t="n">
        <f aca="false">VLOOKUP(K26,['file:///Users/user/Downloads/10. MUSI BOSA CORTE 31 DE DICIEMBRE 2016_INSUMO CONTRALORIA.xls']Hoja1!$D$81:$G$158,2,0)</f>
        <v>32</v>
      </c>
      <c r="K26" s="39" t="s">
        <v>162</v>
      </c>
      <c r="L26" s="38" t="n">
        <v>837</v>
      </c>
      <c r="M26" s="39" t="s">
        <v>142</v>
      </c>
      <c r="N26" s="38" t="n">
        <v>3</v>
      </c>
      <c r="O26" s="39" t="s">
        <v>56</v>
      </c>
      <c r="P26" s="40" t="n">
        <v>3000</v>
      </c>
      <c r="Q26" s="36" t="s">
        <v>163</v>
      </c>
      <c r="R26" s="36" t="s">
        <v>164</v>
      </c>
      <c r="S26" s="39" t="str">
        <f aca="false">VLOOKUP(K26,['file:///Users/user/Downloads/10. MUSI BOSA CORTE 31 DE DICIEMBRE 2016_INSUMO CONTRALORIA.xls']Hoja1!$D$81:$G$158,4,0)</f>
        <v>2. CULTURA Y RECREACIÓN</v>
      </c>
      <c r="T26" s="39" t="str">
        <f aca="false">VLOOKUP(K26,['file:///Users/user/Downloads/10. MUSI BOSA CORTE 31 DE DICIEMBRE 2016_INSUMO CONTRALORIA.xls']Hoja1!$D$81:$G$158,3,0)</f>
        <v>Eventos y actividades recreativas y deportivas</v>
      </c>
      <c r="U26" s="35" t="s">
        <v>52</v>
      </c>
      <c r="V26" s="41" t="n">
        <v>1</v>
      </c>
      <c r="W26" s="42" t="n">
        <f aca="false">AK26/P26</f>
        <v>1.01666666666667</v>
      </c>
      <c r="X26" s="42" t="n">
        <f aca="false">V26*W26</f>
        <v>1.01666666666667</v>
      </c>
      <c r="Y26" s="42" t="n">
        <f aca="false">AP26/P26</f>
        <v>0.859333333333333</v>
      </c>
      <c r="Z26" s="42" t="n">
        <f aca="false">Y26*V26</f>
        <v>0.859333333333333</v>
      </c>
      <c r="AA26" s="38" t="n">
        <v>0</v>
      </c>
      <c r="AB26" s="40" t="n">
        <v>750</v>
      </c>
      <c r="AC26" s="40" t="n">
        <v>750</v>
      </c>
      <c r="AD26" s="40" t="n">
        <v>750</v>
      </c>
      <c r="AE26" s="40" t="n">
        <v>750</v>
      </c>
      <c r="AF26" s="40" t="n">
        <f aca="false">SI(U26="Constante";PROMEDIO(AB26;AC26;AD26;AE26);SI(U26="Suma";SUMA(AB26;AC26;AD26;AE26);0))</f>
        <v>3000</v>
      </c>
      <c r="AG26" s="40" t="n">
        <v>750</v>
      </c>
      <c r="AH26" s="40" t="n">
        <v>750</v>
      </c>
      <c r="AI26" s="43" t="n">
        <v>800</v>
      </c>
      <c r="AJ26" s="44" t="n">
        <v>750</v>
      </c>
      <c r="AK26" s="40" t="n">
        <f aca="false">SI(U26="Constante";PROMEDIO(AG26;AH26;AI26;AJ26);SI(U26="Suma";SUMA(AG26;AH26;AI26;AJ26);0))</f>
        <v>3050</v>
      </c>
      <c r="AL26" s="40" t="n">
        <f aca="false">750+103</f>
        <v>853</v>
      </c>
      <c r="AM26" s="43" t="n">
        <v>875</v>
      </c>
      <c r="AN26" s="45" t="n">
        <v>850</v>
      </c>
      <c r="AO26" s="45" t="n">
        <v>0</v>
      </c>
      <c r="AP26" s="40" t="n">
        <f aca="false">SI(U26="Constante";PROMEDIO(AL26;AM26;AN26;AO26);SI(U26="Suma";SUMA(AL26;AM26;AN26;AO26);0))</f>
        <v>2578</v>
      </c>
      <c r="AQ26" s="46" t="n">
        <v>731444444</v>
      </c>
      <c r="AR26" s="46" t="n">
        <v>726000000</v>
      </c>
      <c r="AS26" s="46" t="n">
        <f aca="false">734000000+16000000-3300000</f>
        <v>746700000</v>
      </c>
      <c r="AT26" s="47" t="n">
        <v>394665791</v>
      </c>
      <c r="AU26" s="46" t="n">
        <f aca="false">SUMA(AQ26:AT26)</f>
        <v>2598810235</v>
      </c>
      <c r="AV26" s="46" t="n">
        <v>208333333</v>
      </c>
      <c r="AW26" s="46" t="n">
        <v>646650000</v>
      </c>
      <c r="AX26" s="46" t="n">
        <v>745100000</v>
      </c>
      <c r="AY26" s="47" t="n">
        <v>0</v>
      </c>
      <c r="AZ26" s="48" t="n">
        <f aca="false">SUMA(AV26:AY26)</f>
        <v>1600083333</v>
      </c>
      <c r="BA26" s="49"/>
      <c r="BB26" s="49"/>
      <c r="BC26" s="49" t="s">
        <v>53</v>
      </c>
      <c r="BD26" s="51" t="s">
        <v>165</v>
      </c>
    </row>
    <row collapsed="false" customFormat="true" customHeight="true" hidden="false" ht="37.5" outlineLevel="0" r="27" s="52">
      <c r="A27" s="34" t="n">
        <f aca="false">VLOOKUP(B27,['file:///Users/user/Downloads/10. MUSI BOSA CORTE 31 DE DICIEMBRE 2016_INSUMO CONTRALORIA.xls']Hoja2!$B$47:$C$66,2,0)</f>
        <v>7</v>
      </c>
      <c r="B27" s="35" t="s">
        <v>43</v>
      </c>
      <c r="C27" s="34" t="n">
        <f aca="false">VLOOKUP(E27,['file:///Users/user/Downloads/10. MUSI BOSA CORTE 31 DE DICIEMBRE 2016_INSUMO CONTRALORIA.xls']Hoja2!$B$8:$C$10,2,0)</f>
        <v>1</v>
      </c>
      <c r="D27" s="113" t="s">
        <v>359</v>
      </c>
      <c r="E27" s="36" t="s">
        <v>44</v>
      </c>
      <c r="F27" s="34" t="n">
        <f aca="false">VLOOKUP(G27,['file:///Users/user/Downloads/10. MUSI BOSA CORTE 31 DE DICIEMBRE 2016_INSUMO CONTRALORIA.xls']Hoja2!$B$12:$C$40,2,0)</f>
        <v>8</v>
      </c>
      <c r="G27" s="36" t="s">
        <v>139</v>
      </c>
      <c r="H27" s="37" t="n">
        <v>347</v>
      </c>
      <c r="I27" s="36" t="s">
        <v>166</v>
      </c>
      <c r="J27" s="38" t="n">
        <f aca="false">VLOOKUP(K27,['file:///Users/user/Downloads/10. MUSI BOSA CORTE 31 DE DICIEMBRE 2016_INSUMO CONTRALORIA.xls']Hoja1!$D$81:$G$158,2,0)</f>
        <v>30</v>
      </c>
      <c r="K27" s="39" t="s">
        <v>167</v>
      </c>
      <c r="L27" s="38" t="n">
        <v>838</v>
      </c>
      <c r="M27" s="39" t="s">
        <v>168</v>
      </c>
      <c r="N27" s="38" t="n">
        <v>2</v>
      </c>
      <c r="O27" s="39" t="s">
        <v>169</v>
      </c>
      <c r="P27" s="40" t="n">
        <v>250</v>
      </c>
      <c r="Q27" s="36" t="s">
        <v>63</v>
      </c>
      <c r="R27" s="36" t="s">
        <v>170</v>
      </c>
      <c r="S27" s="39" t="str">
        <f aca="false">VLOOKUP(K27,['file:///Users/user/Downloads/10. MUSI BOSA CORTE 31 DE DICIEMBRE 2016_INSUMO CONTRALORIA.xls']Hoja1!$D$81:$G$158,4,0)</f>
        <v>2. CULTURA Y RECREACIÓN</v>
      </c>
      <c r="T27" s="39" t="str">
        <f aca="false">VLOOKUP(K27,['file:///Users/user/Downloads/10. MUSI BOSA CORTE 31 DE DICIEMBRE 2016_INSUMO CONTRALORIA.xls']Hoja1!$D$81:$G$158,3,0)</f>
        <v>Eventos y actividades recreativas y deportivas</v>
      </c>
      <c r="U27" s="35" t="s">
        <v>85</v>
      </c>
      <c r="V27" s="41" t="n">
        <v>1</v>
      </c>
      <c r="W27" s="42" t="n">
        <f aca="false">AK27/P27</f>
        <v>1.168</v>
      </c>
      <c r="X27" s="42" t="n">
        <f aca="false">V27*W27</f>
        <v>1.168</v>
      </c>
      <c r="Y27" s="42" t="n">
        <f aca="false">AP27/P27</f>
        <v>0.918</v>
      </c>
      <c r="Z27" s="42" t="n">
        <f aca="false">Y27*V27</f>
        <v>0.918</v>
      </c>
      <c r="AA27" s="38" t="n">
        <v>0</v>
      </c>
      <c r="AB27" s="40" t="n">
        <v>250</v>
      </c>
      <c r="AC27" s="40" t="n">
        <v>250</v>
      </c>
      <c r="AD27" s="40" t="n">
        <v>250</v>
      </c>
      <c r="AE27" s="40" t="n">
        <v>250</v>
      </c>
      <c r="AF27" s="40" t="n">
        <f aca="false">SI(U27="Constante";PROMEDIO(AB27;AC27;AD27;AE27);SI(U27="Suma";SUMA(AB27;AC27;AD27;AE27);0))</f>
        <v>250</v>
      </c>
      <c r="AG27" s="40" t="n">
        <v>520</v>
      </c>
      <c r="AH27" s="40" t="n">
        <v>398</v>
      </c>
      <c r="AI27" s="43" t="n">
        <v>0</v>
      </c>
      <c r="AJ27" s="44" t="n">
        <v>250</v>
      </c>
      <c r="AK27" s="40" t="n">
        <f aca="false">SI(U27="Constante";PROMEDIO(AG27;AH27;AI27;AJ27);SI(U27="Suma";SUMA(AG27;AH27;AI27;AJ27);0))</f>
        <v>292</v>
      </c>
      <c r="AL27" s="40" t="n">
        <v>520</v>
      </c>
      <c r="AM27" s="43" t="n">
        <v>398</v>
      </c>
      <c r="AN27" s="45" t="n">
        <v>0</v>
      </c>
      <c r="AO27" s="45" t="n">
        <v>0</v>
      </c>
      <c r="AP27" s="40" t="n">
        <f aca="false">SI(U27="Constante";PROMEDIO(AL27;AM27;AN27;AO27);SI(U27="Suma";SUMA(AL27;AM27;AN27;AO27);0))</f>
        <v>229.5</v>
      </c>
      <c r="AQ27" s="46" t="n">
        <v>221779446</v>
      </c>
      <c r="AR27" s="46" t="n">
        <v>171428571</v>
      </c>
      <c r="AS27" s="46" t="n">
        <v>0</v>
      </c>
      <c r="AT27" s="47" t="n">
        <v>158926456</v>
      </c>
      <c r="AU27" s="46" t="n">
        <f aca="false">SUMA(AQ27:AT27)</f>
        <v>552134473</v>
      </c>
      <c r="AV27" s="46" t="n">
        <v>0</v>
      </c>
      <c r="AW27" s="46" t="n">
        <v>0</v>
      </c>
      <c r="AX27" s="46" t="n">
        <v>0</v>
      </c>
      <c r="AY27" s="47" t="n">
        <v>0</v>
      </c>
      <c r="AZ27" s="48" t="n">
        <f aca="false">SUMA(AV27:AY27)</f>
        <v>0</v>
      </c>
      <c r="BA27" s="49"/>
      <c r="BB27" s="49"/>
      <c r="BC27" s="49" t="s">
        <v>65</v>
      </c>
      <c r="BD27" s="51"/>
    </row>
    <row collapsed="false" customFormat="true" customHeight="true" hidden="false" ht="37.5" outlineLevel="0" r="28" s="52">
      <c r="A28" s="34" t="n">
        <f aca="false">VLOOKUP(B28,['file:///Users/user/Downloads/10. MUSI BOSA CORTE 31 DE DICIEMBRE 2016_INSUMO CONTRALORIA.xls']Hoja2!$B$47:$C$66,2,0)</f>
        <v>7</v>
      </c>
      <c r="B28" s="35" t="s">
        <v>43</v>
      </c>
      <c r="C28" s="34" t="n">
        <f aca="false">VLOOKUP(E28,['file:///Users/user/Downloads/10. MUSI BOSA CORTE 31 DE DICIEMBRE 2016_INSUMO CONTRALORIA.xls']Hoja2!$B$8:$C$10,2,0)</f>
        <v>1</v>
      </c>
      <c r="D28" s="113" t="s">
        <v>359</v>
      </c>
      <c r="E28" s="36" t="s">
        <v>44</v>
      </c>
      <c r="F28" s="34" t="n">
        <f aca="false">VLOOKUP(G28,['file:///Users/user/Downloads/10. MUSI BOSA CORTE 31 DE DICIEMBRE 2016_INSUMO CONTRALORIA.xls']Hoja2!$B$12:$C$40,2,0)</f>
        <v>8</v>
      </c>
      <c r="G28" s="36" t="s">
        <v>139</v>
      </c>
      <c r="H28" s="37" t="n">
        <v>348</v>
      </c>
      <c r="I28" s="36" t="s">
        <v>171</v>
      </c>
      <c r="J28" s="38" t="n">
        <f aca="false">VLOOKUP(K28,['file:///Users/user/Downloads/10. MUSI BOSA CORTE 31 DE DICIEMBRE 2016_INSUMO CONTRALORIA.xls']Hoja1!$D$81:$G$158,2,0)</f>
        <v>32</v>
      </c>
      <c r="K28" s="39" t="s">
        <v>162</v>
      </c>
      <c r="L28" s="38" t="n">
        <v>838</v>
      </c>
      <c r="M28" s="39" t="s">
        <v>168</v>
      </c>
      <c r="N28" s="38" t="n">
        <v>3</v>
      </c>
      <c r="O28" s="39" t="s">
        <v>56</v>
      </c>
      <c r="P28" s="40" t="n">
        <v>7200</v>
      </c>
      <c r="Q28" s="36" t="s">
        <v>125</v>
      </c>
      <c r="R28" s="36" t="s">
        <v>172</v>
      </c>
      <c r="S28" s="39" t="str">
        <f aca="false">VLOOKUP(K28,['file:///Users/user/Downloads/10. MUSI BOSA CORTE 31 DE DICIEMBRE 2016_INSUMO CONTRALORIA.xls']Hoja1!$D$81:$G$158,4,0)</f>
        <v>2. CULTURA Y RECREACIÓN</v>
      </c>
      <c r="T28" s="39" t="str">
        <f aca="false">VLOOKUP(K28,['file:///Users/user/Downloads/10. MUSI BOSA CORTE 31 DE DICIEMBRE 2016_INSUMO CONTRALORIA.xls']Hoja1!$D$81:$G$158,3,0)</f>
        <v>Eventos y actividades recreativas y deportivas</v>
      </c>
      <c r="U28" s="35" t="s">
        <v>52</v>
      </c>
      <c r="V28" s="41" t="n">
        <v>1</v>
      </c>
      <c r="W28" s="42" t="n">
        <f aca="false">AK28/P28</f>
        <v>1</v>
      </c>
      <c r="X28" s="42" t="n">
        <f aca="false">V28*W28</f>
        <v>1</v>
      </c>
      <c r="Y28" s="42" t="n">
        <f aca="false">AP28/P28</f>
        <v>0.777777777777778</v>
      </c>
      <c r="Z28" s="42" t="n">
        <f aca="false">Y28*V28</f>
        <v>0.777777777777778</v>
      </c>
      <c r="AA28" s="38" t="n">
        <v>5600</v>
      </c>
      <c r="AB28" s="40" t="n">
        <v>1800</v>
      </c>
      <c r="AC28" s="40" t="n">
        <v>1800</v>
      </c>
      <c r="AD28" s="40" t="n">
        <v>1800</v>
      </c>
      <c r="AE28" s="40" t="n">
        <v>1800</v>
      </c>
      <c r="AF28" s="40" t="n">
        <f aca="false">SI(U28="Constante";PROMEDIO(AB28;AC28;AD28;AE28);SI(U28="Suma";SUMA(AB28;AC28;AD28;AE28);0))</f>
        <v>7200</v>
      </c>
      <c r="AG28" s="40" t="n">
        <v>1800</v>
      </c>
      <c r="AH28" s="40" t="n">
        <v>2800</v>
      </c>
      <c r="AI28" s="43" t="n">
        <v>1000</v>
      </c>
      <c r="AJ28" s="44" t="n">
        <v>1600</v>
      </c>
      <c r="AK28" s="40" t="n">
        <f aca="false">SI(U28="Constante";PROMEDIO(AG28;AH28;AI28;AJ28);SI(U28="Suma";SUMA(AG28;AH28;AI28;AJ28);0))</f>
        <v>7200</v>
      </c>
      <c r="AL28" s="40" t="n">
        <v>1800</v>
      </c>
      <c r="AM28" s="43" t="n">
        <v>2800</v>
      </c>
      <c r="AN28" s="45" t="n">
        <v>1000</v>
      </c>
      <c r="AO28" s="45" t="n">
        <v>0</v>
      </c>
      <c r="AP28" s="40" t="n">
        <f aca="false">SI(U28="Constante";PROMEDIO(AL28;AM28;AN28;AO28);SI(U28="Suma";SUMA(AL28;AM28;AN28;AO28);0))</f>
        <v>5600</v>
      </c>
      <c r="AQ28" s="46" t="n">
        <v>487108000</v>
      </c>
      <c r="AR28" s="46" t="n">
        <v>672000000</v>
      </c>
      <c r="AS28" s="46" t="n">
        <v>286500000</v>
      </c>
      <c r="AT28" s="47" t="n">
        <v>572338838</v>
      </c>
      <c r="AU28" s="46" t="n">
        <f aca="false">SUMA(AQ28:AT28)</f>
        <v>2017946838</v>
      </c>
      <c r="AV28" s="46" t="n">
        <v>0</v>
      </c>
      <c r="AW28" s="46" t="n">
        <v>0</v>
      </c>
      <c r="AX28" s="46" t="n">
        <v>136151703</v>
      </c>
      <c r="AY28" s="47" t="n">
        <v>0</v>
      </c>
      <c r="AZ28" s="48" t="n">
        <f aca="false">SUMA(AV28:AY28)</f>
        <v>136151703</v>
      </c>
      <c r="BA28" s="49"/>
      <c r="BB28" s="49"/>
      <c r="BC28" s="49" t="s">
        <v>65</v>
      </c>
      <c r="BD28" s="51"/>
    </row>
    <row collapsed="false" customFormat="true" customHeight="true" hidden="false" ht="37.5" outlineLevel="0" r="29" s="52">
      <c r="A29" s="34" t="n">
        <f aca="false">VLOOKUP(B29,['file:///Users/user/Downloads/10. MUSI BOSA CORTE 31 DE DICIEMBRE 2016_INSUMO CONTRALORIA.xls']Hoja2!$B$47:$C$66,2,0)</f>
        <v>7</v>
      </c>
      <c r="B29" s="35" t="s">
        <v>43</v>
      </c>
      <c r="C29" s="34" t="n">
        <f aca="false">VLOOKUP(E29,['file:///Users/user/Downloads/10. MUSI BOSA CORTE 31 DE DICIEMBRE 2016_INSUMO CONTRALORIA.xls']Hoja2!$B$8:$C$10,2,0)</f>
        <v>1</v>
      </c>
      <c r="D29" s="113" t="s">
        <v>359</v>
      </c>
      <c r="E29" s="36" t="s">
        <v>44</v>
      </c>
      <c r="F29" s="34" t="n">
        <f aca="false">VLOOKUP(G29,['file:///Users/user/Downloads/10. MUSI BOSA CORTE 31 DE DICIEMBRE 2016_INSUMO CONTRALORIA.xls']Hoja2!$B$12:$C$40,2,0)</f>
        <v>8</v>
      </c>
      <c r="G29" s="36" t="s">
        <v>139</v>
      </c>
      <c r="H29" s="37" t="n">
        <v>349</v>
      </c>
      <c r="I29" s="36" t="s">
        <v>173</v>
      </c>
      <c r="J29" s="38" t="n">
        <f aca="false">VLOOKUP(K29,['file:///Users/user/Downloads/10. MUSI BOSA CORTE 31 DE DICIEMBRE 2016_INSUMO CONTRALORIA.xls']Hoja1!$D$81:$G$158,2,0)</f>
        <v>31</v>
      </c>
      <c r="K29" s="39" t="s">
        <v>174</v>
      </c>
      <c r="L29" s="38" t="n">
        <v>838</v>
      </c>
      <c r="M29" s="39" t="s">
        <v>168</v>
      </c>
      <c r="N29" s="38" t="n">
        <v>1</v>
      </c>
      <c r="O29" s="39" t="s">
        <v>143</v>
      </c>
      <c r="P29" s="40" t="n">
        <v>32</v>
      </c>
      <c r="Q29" s="36" t="s">
        <v>144</v>
      </c>
      <c r="R29" s="36" t="s">
        <v>175</v>
      </c>
      <c r="S29" s="39" t="str">
        <f aca="false">VLOOKUP(K29,['file:///Users/user/Downloads/10. MUSI BOSA CORTE 31 DE DICIEMBRE 2016_INSUMO CONTRALORIA.xls']Hoja1!$D$81:$G$158,4,0)</f>
        <v>2. CULTURA Y RECREACIÓN</v>
      </c>
      <c r="T29" s="39" t="str">
        <f aca="false">VLOOKUP(K29,['file:///Users/user/Downloads/10. MUSI BOSA CORTE 31 DE DICIEMBRE 2016_INSUMO CONTRALORIA.xls']Hoja1!$D$81:$G$158,3,0)</f>
        <v>Eventos y actividades recreativas y deportivas</v>
      </c>
      <c r="U29" s="35" t="s">
        <v>52</v>
      </c>
      <c r="V29" s="41" t="n">
        <v>1</v>
      </c>
      <c r="W29" s="42" t="n">
        <f aca="false">AK29/P29</f>
        <v>1</v>
      </c>
      <c r="X29" s="42" t="n">
        <f aca="false">V29*W29</f>
        <v>1</v>
      </c>
      <c r="Y29" s="42" t="n">
        <f aca="false">AP29/P29</f>
        <v>0.6875</v>
      </c>
      <c r="Z29" s="42" t="n">
        <f aca="false">Y29*V29</f>
        <v>0.6875</v>
      </c>
      <c r="AA29" s="38" t="n">
        <v>32</v>
      </c>
      <c r="AB29" s="40" t="n">
        <v>8</v>
      </c>
      <c r="AC29" s="40" t="n">
        <v>8</v>
      </c>
      <c r="AD29" s="40" t="n">
        <v>8</v>
      </c>
      <c r="AE29" s="40" t="n">
        <v>8</v>
      </c>
      <c r="AF29" s="40" t="n">
        <f aca="false">SI(U29="Constante";PROMEDIO(AB29;AC29;AD29;AE29);SI(U29="Suma";SUMA(AB29;AC29;AD29;AE29);0))</f>
        <v>32</v>
      </c>
      <c r="AG29" s="40" t="n">
        <f aca="false">1+7</f>
        <v>8</v>
      </c>
      <c r="AH29" s="40" t="n">
        <f aca="false">8+2</f>
        <v>10</v>
      </c>
      <c r="AI29" s="43" t="n">
        <v>6</v>
      </c>
      <c r="AJ29" s="44" t="n">
        <v>8</v>
      </c>
      <c r="AK29" s="40" t="n">
        <f aca="false">SI(U29="Constante";PROMEDIO(AG29;AH29;AI29;AJ29);SI(U29="Suma";SUMA(AG29;AH29;AI29;AJ29);0))</f>
        <v>32</v>
      </c>
      <c r="AL29" s="40" t="n">
        <v>6</v>
      </c>
      <c r="AM29" s="43" t="n">
        <v>10</v>
      </c>
      <c r="AN29" s="45" t="n">
        <v>6</v>
      </c>
      <c r="AO29" s="45" t="n">
        <v>0</v>
      </c>
      <c r="AP29" s="40" t="n">
        <f aca="false">SI(U29="Constante";PROMEDIO(AL29;AM29;AN29;AO29);SI(U29="Suma";SUMA(AL29;AM29;AN29;AO29);0))</f>
        <v>22</v>
      </c>
      <c r="AQ29" s="46" t="n">
        <v>990638506</v>
      </c>
      <c r="AR29" s="46" t="n">
        <v>1267346442</v>
      </c>
      <c r="AS29" s="46" t="n">
        <v>790871000</v>
      </c>
      <c r="AT29" s="47" t="n">
        <v>1203457200</v>
      </c>
      <c r="AU29" s="46" t="n">
        <f aca="false">SUMA(AQ29:AT29)</f>
        <v>4252313148</v>
      </c>
      <c r="AV29" s="46" t="n">
        <v>52062852</v>
      </c>
      <c r="AW29" s="46" t="n">
        <v>0</v>
      </c>
      <c r="AX29" s="46" t="n">
        <v>195797000</v>
      </c>
      <c r="AY29" s="47" t="n">
        <v>0</v>
      </c>
      <c r="AZ29" s="48" t="n">
        <f aca="false">SUMA(AV29:AY29)</f>
        <v>247859852</v>
      </c>
      <c r="BA29" s="49"/>
      <c r="BB29" s="49"/>
      <c r="BC29" s="49" t="s">
        <v>65</v>
      </c>
      <c r="BD29" s="51" t="s">
        <v>176</v>
      </c>
    </row>
    <row collapsed="false" customFormat="true" customHeight="true" hidden="false" ht="37.5" outlineLevel="0" r="30" s="52">
      <c r="A30" s="34" t="n">
        <f aca="false">VLOOKUP(B30,['file:///Users/user/Downloads/10. MUSI BOSA CORTE 31 DE DICIEMBRE 2016_INSUMO CONTRALORIA.xls']Hoja2!$B$47:$C$66,2,0)</f>
        <v>7</v>
      </c>
      <c r="B30" s="35" t="s">
        <v>43</v>
      </c>
      <c r="C30" s="34" t="n">
        <f aca="false">VLOOKUP(E30,['file:///Users/user/Downloads/10. MUSI BOSA CORTE 31 DE DICIEMBRE 2016_INSUMO CONTRALORIA.xls']Hoja2!$B$8:$C$10,2,0)</f>
        <v>1</v>
      </c>
      <c r="D30" s="113" t="s">
        <v>359</v>
      </c>
      <c r="E30" s="36" t="s">
        <v>44</v>
      </c>
      <c r="F30" s="34" t="n">
        <f aca="false">VLOOKUP(G30,['file:///Users/user/Downloads/10. MUSI BOSA CORTE 31 DE DICIEMBRE 2016_INSUMO CONTRALORIA.xls']Hoja2!$B$12:$C$40,2,0)</f>
        <v>8</v>
      </c>
      <c r="G30" s="36" t="s">
        <v>139</v>
      </c>
      <c r="H30" s="37" t="n">
        <v>350</v>
      </c>
      <c r="I30" s="36" t="s">
        <v>177</v>
      </c>
      <c r="J30" s="38" t="n">
        <f aca="false">VLOOKUP(K30,['file:///Users/user/Downloads/10. MUSI BOSA CORTE 31 DE DICIEMBRE 2016_INSUMO CONTRALORIA.xls']Hoja1!$D$81:$G$158,2,0)</f>
        <v>35</v>
      </c>
      <c r="K30" s="39" t="s">
        <v>178</v>
      </c>
      <c r="L30" s="38" t="n">
        <v>839</v>
      </c>
      <c r="M30" s="39" t="s">
        <v>179</v>
      </c>
      <c r="N30" s="38" t="n">
        <v>1</v>
      </c>
      <c r="O30" s="39" t="s">
        <v>180</v>
      </c>
      <c r="P30" s="40" t="n">
        <v>28</v>
      </c>
      <c r="Q30" s="36" t="s">
        <v>181</v>
      </c>
      <c r="R30" s="36" t="s">
        <v>182</v>
      </c>
      <c r="S30" s="39" t="str">
        <f aca="false">VLOOKUP(K30,['file:///Users/user/Downloads/10. MUSI BOSA CORTE 31 DE DICIEMBRE 2016_INSUMO CONTRALORIA.xls']Hoja1!$D$81:$G$158,4,0)</f>
        <v>2. CULTURA Y RECREACIÓN</v>
      </c>
      <c r="T30" s="39" t="str">
        <f aca="false">VLOOKUP(K30,['file:///Users/user/Downloads/10. MUSI BOSA CORTE 31 DE DICIEMBRE 2016_INSUMO CONTRALORIA.xls']Hoja1!$D$81:$G$158,3,0)</f>
        <v>Parques y escenarios deportivos</v>
      </c>
      <c r="U30" s="35" t="s">
        <v>52</v>
      </c>
      <c r="V30" s="41" t="n">
        <v>1</v>
      </c>
      <c r="W30" s="42" t="n">
        <f aca="false">AK30/P30</f>
        <v>1.46428571428571</v>
      </c>
      <c r="X30" s="42" t="n">
        <f aca="false">V30*W30</f>
        <v>1.46428571428571</v>
      </c>
      <c r="Y30" s="42" t="n">
        <f aca="false">AP30/P30</f>
        <v>1.10714285714286</v>
      </c>
      <c r="Z30" s="42" t="n">
        <f aca="false">Y30*V30</f>
        <v>1.10714285714286</v>
      </c>
      <c r="AA30" s="38" t="n">
        <v>51</v>
      </c>
      <c r="AB30" s="40" t="n">
        <v>7</v>
      </c>
      <c r="AC30" s="40" t="n">
        <v>7</v>
      </c>
      <c r="AD30" s="40" t="n">
        <v>7</v>
      </c>
      <c r="AE30" s="40" t="n">
        <v>7</v>
      </c>
      <c r="AF30" s="40" t="n">
        <f aca="false">SI(U30="Constante";PROMEDIO(AB30;AC30;AD30;AE30);SI(U30="Suma";SUMA(AB30;AC30;AD30;AE30);0))</f>
        <v>28</v>
      </c>
      <c r="AG30" s="40" t="n">
        <v>11</v>
      </c>
      <c r="AH30" s="40" t="n">
        <v>13</v>
      </c>
      <c r="AI30" s="43" t="n">
        <v>6</v>
      </c>
      <c r="AJ30" s="44" t="n">
        <v>11</v>
      </c>
      <c r="AK30" s="40" t="n">
        <f aca="false">SI(U30="Constante";PROMEDIO(AG30;AH30;AI30;AJ30);SI(U30="Suma";SUMA(AG30;AH30;AI30;AJ30);0))</f>
        <v>41</v>
      </c>
      <c r="AL30" s="40" t="n">
        <v>12</v>
      </c>
      <c r="AM30" s="43" t="n">
        <f aca="false">12+1</f>
        <v>13</v>
      </c>
      <c r="AN30" s="45" t="n">
        <v>6</v>
      </c>
      <c r="AO30" s="45" t="n">
        <v>0</v>
      </c>
      <c r="AP30" s="40" t="n">
        <f aca="false">SI(U30="Constante";PROMEDIO(AL30;AM30;AN30;AO30);SI(U30="Suma";SUMA(AL30;AM30;AN30;AO30);0))</f>
        <v>31</v>
      </c>
      <c r="AQ30" s="46" t="n">
        <v>2112521214</v>
      </c>
      <c r="AR30" s="46" t="n">
        <v>3154281186</v>
      </c>
      <c r="AS30" s="46" t="n">
        <f aca="false">3908445635+194881906</f>
        <v>4103327541</v>
      </c>
      <c r="AT30" s="47" t="n">
        <v>1986973476</v>
      </c>
      <c r="AU30" s="46" t="n">
        <f aca="false">SUMA(AQ30:AT30)</f>
        <v>11357103417</v>
      </c>
      <c r="AV30" s="46" t="n">
        <v>258401511</v>
      </c>
      <c r="AW30" s="46" t="n">
        <v>970597177</v>
      </c>
      <c r="AX30" s="84" t="n">
        <v>3479494283.75454</v>
      </c>
      <c r="AY30" s="47" t="n">
        <v>0</v>
      </c>
      <c r="AZ30" s="48" t="n">
        <f aca="false">SUMA(AV30:AY30)</f>
        <v>4708492971.75454</v>
      </c>
      <c r="BA30" s="49"/>
      <c r="BB30" s="49"/>
      <c r="BC30" s="50" t="s">
        <v>183</v>
      </c>
      <c r="BD30" s="51" t="s">
        <v>184</v>
      </c>
    </row>
    <row collapsed="false" customFormat="true" customHeight="true" hidden="false" ht="37.5" outlineLevel="0" r="31" s="52">
      <c r="A31" s="34" t="n">
        <f aca="false">VLOOKUP(B31,['file:///Users/user/Downloads/10. MUSI BOSA CORTE 31 DE DICIEMBRE 2016_INSUMO CONTRALORIA.xls']Hoja2!$B$47:$C$66,2,0)</f>
        <v>7</v>
      </c>
      <c r="B31" s="35" t="s">
        <v>43</v>
      </c>
      <c r="C31" s="34" t="n">
        <f aca="false">VLOOKUP(E31,['file:///Users/user/Downloads/10. MUSI BOSA CORTE 31 DE DICIEMBRE 2016_INSUMO CONTRALORIA.xls']Hoja2!$B$8:$C$10,2,0)</f>
        <v>1</v>
      </c>
      <c r="D31" s="113" t="s">
        <v>359</v>
      </c>
      <c r="E31" s="36" t="s">
        <v>44</v>
      </c>
      <c r="F31" s="34" t="n">
        <f aca="false">VLOOKUP(G31,['file:///Users/user/Downloads/10. MUSI BOSA CORTE 31 DE DICIEMBRE 2016_INSUMO CONTRALORIA.xls']Hoja2!$B$12:$C$40,2,0)</f>
        <v>8</v>
      </c>
      <c r="G31" s="36" t="s">
        <v>139</v>
      </c>
      <c r="H31" s="37" t="n">
        <v>351</v>
      </c>
      <c r="I31" s="36" t="s">
        <v>185</v>
      </c>
      <c r="J31" s="38" t="n">
        <f aca="false">VLOOKUP(K31,['file:///Users/user/Downloads/10. MUSI BOSA CORTE 31 DE DICIEMBRE 2016_INSUMO CONTRALORIA.xls']Hoja1!$D$81:$G$158,2,0)</f>
        <v>37</v>
      </c>
      <c r="K31" s="39" t="s">
        <v>186</v>
      </c>
      <c r="L31" s="38" t="n">
        <v>839</v>
      </c>
      <c r="M31" s="39" t="s">
        <v>179</v>
      </c>
      <c r="N31" s="38" t="n">
        <v>2</v>
      </c>
      <c r="O31" s="39" t="s">
        <v>187</v>
      </c>
      <c r="P31" s="40" t="n">
        <v>6</v>
      </c>
      <c r="Q31" s="36" t="s">
        <v>181</v>
      </c>
      <c r="R31" s="36" t="s">
        <v>188</v>
      </c>
      <c r="S31" s="39" t="str">
        <f aca="false">VLOOKUP(K31,['file:///Users/user/Downloads/10. MUSI BOSA CORTE 31 DE DICIEMBRE 2016_INSUMO CONTRALORIA.xls']Hoja1!$D$81:$G$158,4,0)</f>
        <v>2. CULTURA Y RECREACIÓN</v>
      </c>
      <c r="T31" s="39" t="str">
        <f aca="false">VLOOKUP(K31,['file:///Users/user/Downloads/10. MUSI BOSA CORTE 31 DE DICIEMBRE 2016_INSUMO CONTRALORIA.xls']Hoja1!$D$81:$G$158,3,0)</f>
        <v>Parques y escenarios deportivos</v>
      </c>
      <c r="U31" s="35" t="s">
        <v>52</v>
      </c>
      <c r="V31" s="41" t="n">
        <v>1</v>
      </c>
      <c r="W31" s="42" t="n">
        <f aca="false">AK31/P31</f>
        <v>0.833333333333333</v>
      </c>
      <c r="X31" s="42" t="n">
        <f aca="false">V31*W31</f>
        <v>0.833333333333333</v>
      </c>
      <c r="Y31" s="42" t="n">
        <f aca="false">AP31/P31</f>
        <v>0.166666666666667</v>
      </c>
      <c r="Z31" s="42" t="n">
        <f aca="false">Y31*V31</f>
        <v>0.166666666666667</v>
      </c>
      <c r="AA31" s="38" t="n">
        <v>0</v>
      </c>
      <c r="AB31" s="40" t="n">
        <v>1</v>
      </c>
      <c r="AC31" s="40" t="n">
        <v>2</v>
      </c>
      <c r="AD31" s="40" t="n">
        <v>3</v>
      </c>
      <c r="AE31" s="40" t="n">
        <v>0</v>
      </c>
      <c r="AF31" s="40" t="n">
        <f aca="false">SI(U31="Constante";PROMEDIO(AB31;AC31;AD31;AE31);SI(U31="Suma";SUMA(AB31;AC31;AD31;AE31);0))</f>
        <v>6</v>
      </c>
      <c r="AG31" s="40" t="n">
        <v>0</v>
      </c>
      <c r="AH31" s="40" t="n">
        <v>0</v>
      </c>
      <c r="AI31" s="43" t="n">
        <v>1</v>
      </c>
      <c r="AJ31" s="44" t="n">
        <v>4</v>
      </c>
      <c r="AK31" s="40" t="n">
        <f aca="false">SI(U31="Constante";PROMEDIO(AG31;AH31;AI31;AJ31);SI(U31="Suma";SUMA(AG31;AH31;AI31;AJ31);0))</f>
        <v>5</v>
      </c>
      <c r="AL31" s="40" t="n">
        <v>0</v>
      </c>
      <c r="AM31" s="43" t="n">
        <v>0</v>
      </c>
      <c r="AN31" s="45" t="n">
        <v>1</v>
      </c>
      <c r="AO31" s="45" t="n">
        <v>0</v>
      </c>
      <c r="AP31" s="40" t="n">
        <f aca="false">SI(U31="Constante";PROMEDIO(AL31;AM31;AN31;AO31);SI(U31="Suma";SUMA(AL31;AM31;AN31;AO31);0))</f>
        <v>1</v>
      </c>
      <c r="AQ31" s="46" t="n">
        <v>132387546</v>
      </c>
      <c r="AR31" s="85" t="n">
        <v>62890497.3333333</v>
      </c>
      <c r="AS31" s="46" t="n">
        <v>646645427</v>
      </c>
      <c r="AT31" s="47" t="n">
        <v>2584174207</v>
      </c>
      <c r="AU31" s="46" t="n">
        <f aca="false">SUMA(AQ31:AT31)</f>
        <v>3426097677.33333</v>
      </c>
      <c r="AV31" s="46" t="n">
        <v>0</v>
      </c>
      <c r="AW31" s="46" t="n">
        <v>20398407</v>
      </c>
      <c r="AX31" s="46" t="n">
        <v>646645427.3</v>
      </c>
      <c r="AY31" s="47" t="n">
        <v>0</v>
      </c>
      <c r="AZ31" s="48" t="n">
        <f aca="false">SUMA(AV31:AY31)</f>
        <v>667043834.3</v>
      </c>
      <c r="BA31" s="49"/>
      <c r="BB31" s="49"/>
      <c r="BC31" s="50" t="s">
        <v>183</v>
      </c>
      <c r="BD31" s="51" t="s">
        <v>189</v>
      </c>
    </row>
    <row collapsed="false" customFormat="true" customHeight="true" hidden="false" ht="37.5" outlineLevel="0" r="32" s="52">
      <c r="A32" s="34" t="n">
        <f aca="false">VLOOKUP(B32,['file:///Users/user/Downloads/10. MUSI BOSA CORTE 31 DE DICIEMBRE 2016_INSUMO CONTRALORIA.xls']Hoja2!$B$47:$C$66,2,0)</f>
        <v>7</v>
      </c>
      <c r="B32" s="35" t="s">
        <v>43</v>
      </c>
      <c r="C32" s="34" t="n">
        <f aca="false">VLOOKUP(E32,['file:///Users/user/Downloads/10. MUSI BOSA CORTE 31 DE DICIEMBRE 2016_INSUMO CONTRALORIA.xls']Hoja2!$B$8:$C$10,2,0)</f>
        <v>1</v>
      </c>
      <c r="D32" s="113" t="s">
        <v>359</v>
      </c>
      <c r="E32" s="36" t="s">
        <v>44</v>
      </c>
      <c r="F32" s="34" t="n">
        <f aca="false">VLOOKUP(G32,['file:///Users/user/Downloads/10. MUSI BOSA CORTE 31 DE DICIEMBRE 2016_INSUMO CONTRALORIA.xls']Hoja2!$B$12:$C$40,2,0)</f>
        <v>8</v>
      </c>
      <c r="G32" s="36" t="s">
        <v>139</v>
      </c>
      <c r="H32" s="37" t="n">
        <v>352</v>
      </c>
      <c r="I32" s="36" t="s">
        <v>190</v>
      </c>
      <c r="J32" s="38" t="n">
        <f aca="false">VLOOKUP(K32,['file:///Users/user/Downloads/10. MUSI BOSA CORTE 31 DE DICIEMBRE 2016_INSUMO CONTRALORIA.xls']Hoja1!$D$81:$G$158,2,0)</f>
        <v>36</v>
      </c>
      <c r="K32" s="39" t="s">
        <v>191</v>
      </c>
      <c r="L32" s="38" t="n">
        <v>839</v>
      </c>
      <c r="M32" s="39" t="s">
        <v>179</v>
      </c>
      <c r="N32" s="38" t="n">
        <v>3</v>
      </c>
      <c r="O32" s="39" t="s">
        <v>187</v>
      </c>
      <c r="P32" s="40" t="n">
        <v>4</v>
      </c>
      <c r="Q32" s="36" t="s">
        <v>181</v>
      </c>
      <c r="R32" s="36" t="s">
        <v>182</v>
      </c>
      <c r="S32" s="39" t="str">
        <f aca="false">VLOOKUP(K32,['file:///Users/user/Downloads/10. MUSI BOSA CORTE 31 DE DICIEMBRE 2016_INSUMO CONTRALORIA.xls']Hoja1!$D$81:$G$158,4,0)</f>
        <v>2. CULTURA Y RECREACIÓN</v>
      </c>
      <c r="T32" s="39" t="str">
        <f aca="false">VLOOKUP(K32,['file:///Users/user/Downloads/10. MUSI BOSA CORTE 31 DE DICIEMBRE 2016_INSUMO CONTRALORIA.xls']Hoja1!$D$81:$G$158,3,0)</f>
        <v>Parques y escenarios deportivos</v>
      </c>
      <c r="U32" s="35" t="s">
        <v>52</v>
      </c>
      <c r="V32" s="41" t="n">
        <v>1</v>
      </c>
      <c r="W32" s="42" t="n">
        <f aca="false">AK32/P32</f>
        <v>1.5</v>
      </c>
      <c r="X32" s="42" t="n">
        <f aca="false">V32*W32</f>
        <v>1.5</v>
      </c>
      <c r="Y32" s="42" t="n">
        <f aca="false">AP32/P32</f>
        <v>0.25</v>
      </c>
      <c r="Z32" s="42" t="n">
        <f aca="false">Y32*V32</f>
        <v>0.25</v>
      </c>
      <c r="AA32" s="38" t="n">
        <v>0</v>
      </c>
      <c r="AB32" s="40" t="n">
        <v>1</v>
      </c>
      <c r="AC32" s="40" t="n">
        <v>1</v>
      </c>
      <c r="AD32" s="40" t="n">
        <v>2</v>
      </c>
      <c r="AE32" s="40" t="n">
        <v>0</v>
      </c>
      <c r="AF32" s="40" t="n">
        <f aca="false">SI(U32="Constante";PROMEDIO(AB32;AC32;AD32;AE32);SI(U32="Suma";SUMA(AB32;AC32;AD32;AE32);0))</f>
        <v>4</v>
      </c>
      <c r="AG32" s="40" t="n">
        <v>0</v>
      </c>
      <c r="AH32" s="40" t="n">
        <v>0</v>
      </c>
      <c r="AI32" s="43" t="n">
        <v>1</v>
      </c>
      <c r="AJ32" s="44" t="n">
        <v>5</v>
      </c>
      <c r="AK32" s="40" t="n">
        <f aca="false">SI(U32="Constante";PROMEDIO(AG32;AH32;AI32;AJ32);SI(U32="Suma";SUMA(AG32;AH32;AI32;AJ32);0))</f>
        <v>6</v>
      </c>
      <c r="AL32" s="40" t="n">
        <v>0</v>
      </c>
      <c r="AM32" s="43" t="n">
        <v>0</v>
      </c>
      <c r="AN32" s="45" t="n">
        <v>1</v>
      </c>
      <c r="AO32" s="45" t="n">
        <v>0</v>
      </c>
      <c r="AP32" s="40" t="n">
        <f aca="false">SI(U32="Constante";PROMEDIO(AL32;AM32;AN32;AO32);SI(U32="Suma";SUMA(AL32;AM32;AN32;AO32);0))</f>
        <v>1</v>
      </c>
      <c r="AQ32" s="46" t="n">
        <v>144396088</v>
      </c>
      <c r="AR32" s="85" t="n">
        <v>60748304.6666667</v>
      </c>
      <c r="AS32" s="46" t="n">
        <v>646645427</v>
      </c>
      <c r="AT32" s="47" t="n">
        <v>2067339366</v>
      </c>
      <c r="AU32" s="46" t="n">
        <f aca="false">SUMA(AQ32:AT32)</f>
        <v>2919129185.66667</v>
      </c>
      <c r="AV32" s="46" t="n">
        <v>0</v>
      </c>
      <c r="AW32" s="46" t="n">
        <v>0</v>
      </c>
      <c r="AX32" s="46" t="n">
        <v>646645427.3</v>
      </c>
      <c r="AY32" s="47" t="n">
        <v>0</v>
      </c>
      <c r="AZ32" s="48" t="n">
        <f aca="false">SUMA(AV32:AY32)</f>
        <v>646645427.3</v>
      </c>
      <c r="BA32" s="49"/>
      <c r="BB32" s="49"/>
      <c r="BC32" s="50" t="s">
        <v>183</v>
      </c>
      <c r="BD32" s="51" t="s">
        <v>192</v>
      </c>
    </row>
    <row collapsed="false" customFormat="true" customHeight="true" hidden="false" ht="37.5" outlineLevel="0" r="33" s="52">
      <c r="A33" s="34" t="n">
        <f aca="false">VLOOKUP(B33,['file:///Users/user/Downloads/10. MUSI BOSA CORTE 31 DE DICIEMBRE 2016_INSUMO CONTRALORIA.xls']Hoja2!$B$47:$C$66,2,0)</f>
        <v>7</v>
      </c>
      <c r="B33" s="35" t="s">
        <v>43</v>
      </c>
      <c r="C33" s="34" t="n">
        <f aca="false">VLOOKUP(E33,['file:///Users/user/Downloads/10. MUSI BOSA CORTE 31 DE DICIEMBRE 2016_INSUMO CONTRALORIA.xls']Hoja2!$B$8:$C$10,2,0)</f>
        <v>1</v>
      </c>
      <c r="D33" s="113" t="s">
        <v>359</v>
      </c>
      <c r="E33" s="36" t="s">
        <v>44</v>
      </c>
      <c r="F33" s="34" t="n">
        <f aca="false">VLOOKUP(G33,['file:///Users/user/Downloads/10. MUSI BOSA CORTE 31 DE DICIEMBRE 2016_INSUMO CONTRALORIA.xls']Hoja2!$B$12:$C$40,2,0)</f>
        <v>8</v>
      </c>
      <c r="G33" s="36" t="s">
        <v>139</v>
      </c>
      <c r="H33" s="37" t="n">
        <v>353</v>
      </c>
      <c r="I33" s="36" t="s">
        <v>193</v>
      </c>
      <c r="J33" s="38" t="n">
        <f aca="false">VLOOKUP(K33,['file:///Users/user/Downloads/10. MUSI BOSA CORTE 31 DE DICIEMBRE 2016_INSUMO CONTRALORIA.xls']Hoja1!$D$81:$G$158,2,0)</f>
        <v>35</v>
      </c>
      <c r="K33" s="39" t="s">
        <v>178</v>
      </c>
      <c r="L33" s="38" t="n">
        <v>839</v>
      </c>
      <c r="M33" s="39" t="s">
        <v>179</v>
      </c>
      <c r="N33" s="38" t="n">
        <v>4</v>
      </c>
      <c r="O33" s="39" t="s">
        <v>180</v>
      </c>
      <c r="P33" s="40" t="n">
        <v>60</v>
      </c>
      <c r="Q33" s="36" t="s">
        <v>181</v>
      </c>
      <c r="R33" s="36" t="s">
        <v>188</v>
      </c>
      <c r="S33" s="39" t="str">
        <f aca="false">VLOOKUP(K33,['file:///Users/user/Downloads/10. MUSI BOSA CORTE 31 DE DICIEMBRE 2016_INSUMO CONTRALORIA.xls']Hoja1!$D$81:$G$158,4,0)</f>
        <v>2. CULTURA Y RECREACIÓN</v>
      </c>
      <c r="T33" s="39" t="str">
        <f aca="false">VLOOKUP(K33,['file:///Users/user/Downloads/10. MUSI BOSA CORTE 31 DE DICIEMBRE 2016_INSUMO CONTRALORIA.xls']Hoja1!$D$81:$G$158,3,0)</f>
        <v>Parques y escenarios deportivos</v>
      </c>
      <c r="U33" s="35" t="s">
        <v>52</v>
      </c>
      <c r="V33" s="41" t="n">
        <v>1</v>
      </c>
      <c r="W33" s="42" t="n">
        <f aca="false">AK33/P33</f>
        <v>0.8</v>
      </c>
      <c r="X33" s="42" t="n">
        <f aca="false">V33*W33</f>
        <v>0.8</v>
      </c>
      <c r="Y33" s="42" t="n">
        <f aca="false">AP33/P33</f>
        <v>0.75</v>
      </c>
      <c r="Z33" s="42" t="n">
        <f aca="false">Y33*V33</f>
        <v>0.75</v>
      </c>
      <c r="AA33" s="38" t="n">
        <v>51</v>
      </c>
      <c r="AB33" s="40" t="n">
        <v>15</v>
      </c>
      <c r="AC33" s="40" t="n">
        <v>15</v>
      </c>
      <c r="AD33" s="40" t="n">
        <v>15</v>
      </c>
      <c r="AE33" s="40" t="n">
        <v>15</v>
      </c>
      <c r="AF33" s="40" t="n">
        <f aca="false">SI(U33="Constante";PROMEDIO(AB33;AC33;AD33;AE33);SI(U33="Suma";SUMA(AB33;AC33;AD33;AE33);0))</f>
        <v>60</v>
      </c>
      <c r="AG33" s="40" t="n">
        <v>18</v>
      </c>
      <c r="AH33" s="40" t="n">
        <v>14</v>
      </c>
      <c r="AI33" s="43" t="n">
        <v>14</v>
      </c>
      <c r="AJ33" s="44" t="n">
        <v>2</v>
      </c>
      <c r="AK33" s="40" t="n">
        <f aca="false">SI(U33="Constante";PROMEDIO(AG33;AH33;AI33;AJ33);SI(U33="Suma";SUMA(AG33;AH33;AI33;AJ33);0))</f>
        <v>48</v>
      </c>
      <c r="AL33" s="40" t="n">
        <v>17</v>
      </c>
      <c r="AM33" s="43" t="n">
        <f aca="false">13+1</f>
        <v>14</v>
      </c>
      <c r="AN33" s="45" t="n">
        <v>14</v>
      </c>
      <c r="AO33" s="45" t="n">
        <v>0</v>
      </c>
      <c r="AP33" s="40" t="n">
        <f aca="false">SI(U33="Constante";PROMEDIO(AL33;AM33;AN33;AO33);SI(U33="Suma";SUMA(AL33;AM33;AN33;AO33);0))</f>
        <v>45</v>
      </c>
      <c r="AQ33" s="46" t="n">
        <v>1084034350</v>
      </c>
      <c r="AR33" s="46" t="n">
        <v>1832078980</v>
      </c>
      <c r="AS33" s="46" t="n">
        <v>2687103679</v>
      </c>
      <c r="AT33" s="47" t="n">
        <v>361305604</v>
      </c>
      <c r="AU33" s="46" t="n">
        <f aca="false">SUMA(AQ33:AT33)</f>
        <v>5964522613</v>
      </c>
      <c r="AV33" s="46" t="n">
        <v>0</v>
      </c>
      <c r="AW33" s="46" t="n">
        <v>480599550</v>
      </c>
      <c r="AX33" s="46" t="n">
        <v>2667763991.64546</v>
      </c>
      <c r="AY33" s="47" t="n">
        <v>0</v>
      </c>
      <c r="AZ33" s="48" t="n">
        <f aca="false">SUMA(AV33:AY33)</f>
        <v>3148363541.64546</v>
      </c>
      <c r="BA33" s="49"/>
      <c r="BB33" s="49"/>
      <c r="BC33" s="50" t="s">
        <v>183</v>
      </c>
      <c r="BD33" s="51" t="s">
        <v>194</v>
      </c>
    </row>
    <row collapsed="false" customFormat="true" customHeight="true" hidden="false" ht="37.5" outlineLevel="0" r="34" s="52">
      <c r="A34" s="34" t="n">
        <f aca="false">VLOOKUP(B34,['file:///Users/user/Downloads/10. MUSI BOSA CORTE 31 DE DICIEMBRE 2016_INSUMO CONTRALORIA.xls']Hoja2!$B$47:$C$66,2,0)</f>
        <v>7</v>
      </c>
      <c r="B34" s="35" t="s">
        <v>43</v>
      </c>
      <c r="C34" s="34" t="n">
        <f aca="false">VLOOKUP(E34,['file:///Users/user/Downloads/10. MUSI BOSA CORTE 31 DE DICIEMBRE 2016_INSUMO CONTRALORIA.xls']Hoja2!$B$8:$C$10,2,0)</f>
        <v>1</v>
      </c>
      <c r="D34" s="113" t="s">
        <v>359</v>
      </c>
      <c r="E34" s="36" t="s">
        <v>44</v>
      </c>
      <c r="F34" s="34" t="n">
        <f aca="false">VLOOKUP(G34,['file:///Users/user/Downloads/10. MUSI BOSA CORTE 31 DE DICIEMBRE 2016_INSUMO CONTRALORIA.xls']Hoja2!$B$12:$C$40,2,0)</f>
        <v>8</v>
      </c>
      <c r="G34" s="36" t="s">
        <v>139</v>
      </c>
      <c r="H34" s="37" t="n">
        <v>354</v>
      </c>
      <c r="I34" s="36" t="s">
        <v>195</v>
      </c>
      <c r="J34" s="38" t="str">
        <f aca="false">VLOOKUP(K34,['file:///Users/user/Downloads/10. MUSI BOSA CORTE 31 DE DICIEMBRE 2016_INSUMO CONTRALORIA.xls']Hoja1!$D$81:$G$158,2,0)</f>
        <v>N/A</v>
      </c>
      <c r="K34" s="39" t="s">
        <v>196</v>
      </c>
      <c r="L34" s="38" t="n">
        <v>839</v>
      </c>
      <c r="M34" s="39" t="s">
        <v>179</v>
      </c>
      <c r="N34" s="38"/>
      <c r="O34" s="39" t="s">
        <v>49</v>
      </c>
      <c r="P34" s="40" t="n">
        <v>1</v>
      </c>
      <c r="Q34" s="36" t="s">
        <v>197</v>
      </c>
      <c r="R34" s="36" t="s">
        <v>198</v>
      </c>
      <c r="S34" s="39" t="str">
        <f aca="false">VLOOKUP(K34,['file:///Users/user/Downloads/10. MUSI BOSA CORTE 31 DE DICIEMBRE 2016_INSUMO CONTRALORIA.xls']Hoja1!$D$81:$G$158,4,0)</f>
        <v>N/A</v>
      </c>
      <c r="T34" s="39" t="str">
        <f aca="false">VLOOKUP(K34,['file:///Users/user/Downloads/10. MUSI BOSA CORTE 31 DE DICIEMBRE 2016_INSUMO CONTRALORIA.xls']Hoja1!$D$81:$G$158,3,0)</f>
        <v>N/A</v>
      </c>
      <c r="U34" s="35" t="s">
        <v>52</v>
      </c>
      <c r="V34" s="41" t="n">
        <v>1</v>
      </c>
      <c r="W34" s="42" t="n">
        <f aca="false">AK34/P34</f>
        <v>1</v>
      </c>
      <c r="X34" s="42" t="n">
        <f aca="false">V34*W34</f>
        <v>1</v>
      </c>
      <c r="Y34" s="42" t="n">
        <f aca="false">AP34/P34</f>
        <v>0</v>
      </c>
      <c r="Z34" s="42" t="n">
        <f aca="false">Y34*V34</f>
        <v>0</v>
      </c>
      <c r="AA34" s="38" t="n">
        <v>0</v>
      </c>
      <c r="AB34" s="40" t="n">
        <v>0</v>
      </c>
      <c r="AC34" s="40" t="n">
        <v>1</v>
      </c>
      <c r="AD34" s="40" t="n">
        <v>0</v>
      </c>
      <c r="AE34" s="40" t="n">
        <v>0</v>
      </c>
      <c r="AF34" s="40" t="n">
        <f aca="false">SI(U34="Constante";PROMEDIO(AB34;AC34;AD34;AE34);SI(U34="Suma";SUMA(AB34;AC34;AD34;AE34);0))</f>
        <v>1</v>
      </c>
      <c r="AG34" s="40" t="n">
        <v>0</v>
      </c>
      <c r="AH34" s="40" t="n">
        <v>1</v>
      </c>
      <c r="AI34" s="43" t="n">
        <v>0</v>
      </c>
      <c r="AJ34" s="44" t="n">
        <v>0</v>
      </c>
      <c r="AK34" s="40" t="n">
        <f aca="false">SI(U34="Constante";PROMEDIO(AG34;AH34;AI34;AJ34);SI(U34="Suma";SUMA(AG34;AH34;AI34;AJ34);0))</f>
        <v>1</v>
      </c>
      <c r="AL34" s="40" t="n">
        <v>0</v>
      </c>
      <c r="AM34" s="43" t="n">
        <v>0</v>
      </c>
      <c r="AN34" s="45" t="n">
        <v>0</v>
      </c>
      <c r="AO34" s="45" t="n">
        <v>0</v>
      </c>
      <c r="AP34" s="40" t="n">
        <f aca="false">SI(U34="Constante";PROMEDIO(AL34;AM34;AN34;AO34);SI(U34="Suma";SUMA(AL34;AM34;AN34;AO34);0))</f>
        <v>0</v>
      </c>
      <c r="AQ34" s="46" t="n">
        <v>0</v>
      </c>
      <c r="AR34" s="46" t="n">
        <v>300000000</v>
      </c>
      <c r="AS34" s="46" t="n">
        <v>0</v>
      </c>
      <c r="AT34" s="47" t="n">
        <v>0</v>
      </c>
      <c r="AU34" s="46" t="n">
        <f aca="false">SUMA(AQ34:AT34)</f>
        <v>300000000</v>
      </c>
      <c r="AV34" s="46" t="n">
        <v>0</v>
      </c>
      <c r="AW34" s="46" t="n">
        <v>0</v>
      </c>
      <c r="AX34" s="46" t="n">
        <v>0</v>
      </c>
      <c r="AY34" s="47" t="n">
        <v>0</v>
      </c>
      <c r="AZ34" s="48" t="n">
        <f aca="false">SUMA(AV34:AY34)</f>
        <v>0</v>
      </c>
      <c r="BA34" s="49"/>
      <c r="BB34" s="49"/>
      <c r="BC34" s="50" t="s">
        <v>183</v>
      </c>
      <c r="BD34" s="51"/>
    </row>
    <row collapsed="false" customFormat="true" customHeight="true" hidden="false" ht="37.5" outlineLevel="0" r="35" s="52">
      <c r="A35" s="34" t="n">
        <f aca="false">VLOOKUP(B35,['file:///Users/user/Downloads/10. MUSI BOSA CORTE 31 DE DICIEMBRE 2016_INSUMO CONTRALORIA.xls']Hoja2!$B$47:$C$66,2,0)</f>
        <v>7</v>
      </c>
      <c r="B35" s="35" t="s">
        <v>43</v>
      </c>
      <c r="C35" s="34" t="n">
        <f aca="false">VLOOKUP(E35,['file:///Users/user/Downloads/10. MUSI BOSA CORTE 31 DE DICIEMBRE 2016_INSUMO CONTRALORIA.xls']Hoja2!$B$8:$C$10,2,0)</f>
        <v>1</v>
      </c>
      <c r="D35" s="113" t="s">
        <v>359</v>
      </c>
      <c r="E35" s="36" t="s">
        <v>44</v>
      </c>
      <c r="F35" s="34" t="n">
        <f aca="false">VLOOKUP(G35,['file:///Users/user/Downloads/10. MUSI BOSA CORTE 31 DE DICIEMBRE 2016_INSUMO CONTRALORIA.xls']Hoja2!$B$12:$C$40,2,0)</f>
        <v>15</v>
      </c>
      <c r="G35" s="36" t="s">
        <v>199</v>
      </c>
      <c r="H35" s="37" t="n">
        <v>356</v>
      </c>
      <c r="I35" s="36" t="s">
        <v>200</v>
      </c>
      <c r="J35" s="38" t="str">
        <f aca="false">VLOOKUP(K35,['file:///Users/user/Downloads/10. MUSI BOSA CORTE 31 DE DICIEMBRE 2016_INSUMO CONTRALORIA.xls']Hoja1!$D$81:$G$158,2,0)</f>
        <v>N/A</v>
      </c>
      <c r="K35" s="39" t="s">
        <v>196</v>
      </c>
      <c r="L35" s="38" t="n">
        <v>840</v>
      </c>
      <c r="M35" s="39" t="s">
        <v>201</v>
      </c>
      <c r="N35" s="38" t="n">
        <v>1</v>
      </c>
      <c r="O35" s="39" t="s">
        <v>143</v>
      </c>
      <c r="P35" s="40" t="n">
        <v>100</v>
      </c>
      <c r="Q35" s="36" t="s">
        <v>202</v>
      </c>
      <c r="R35" s="36" t="s">
        <v>203</v>
      </c>
      <c r="S35" s="39" t="str">
        <f aca="false">VLOOKUP(K35,['file:///Users/user/Downloads/10. MUSI BOSA CORTE 31 DE DICIEMBRE 2016_INSUMO CONTRALORIA.xls']Hoja1!$D$81:$G$158,4,0)</f>
        <v>N/A</v>
      </c>
      <c r="T35" s="39" t="str">
        <f aca="false">VLOOKUP(K35,['file:///Users/user/Downloads/10. MUSI BOSA CORTE 31 DE DICIEMBRE 2016_INSUMO CONTRALORIA.xls']Hoja1!$D$81:$G$158,3,0)</f>
        <v>N/A</v>
      </c>
      <c r="U35" s="35" t="s">
        <v>52</v>
      </c>
      <c r="V35" s="41" t="n">
        <v>1</v>
      </c>
      <c r="W35" s="42" t="n">
        <f aca="false">AK35/P35</f>
        <v>0</v>
      </c>
      <c r="X35" s="42" t="n">
        <f aca="false">V35*W35</f>
        <v>0</v>
      </c>
      <c r="Y35" s="42" t="n">
        <f aca="false">AP35/P35</f>
        <v>0</v>
      </c>
      <c r="Z35" s="42" t="n">
        <f aca="false">Y35*V35</f>
        <v>0</v>
      </c>
      <c r="AA35" s="38" t="n">
        <v>1</v>
      </c>
      <c r="AB35" s="40" t="n">
        <v>50</v>
      </c>
      <c r="AC35" s="40" t="n">
        <v>100</v>
      </c>
      <c r="AD35" s="40" t="n">
        <v>0</v>
      </c>
      <c r="AE35" s="40" t="n">
        <v>0</v>
      </c>
      <c r="AF35" s="40" t="n">
        <v>100</v>
      </c>
      <c r="AG35" s="40" t="n">
        <v>0</v>
      </c>
      <c r="AH35" s="40" t="n">
        <v>0</v>
      </c>
      <c r="AI35" s="43" t="n">
        <v>0</v>
      </c>
      <c r="AJ35" s="44" t="n">
        <v>0</v>
      </c>
      <c r="AK35" s="40" t="n">
        <f aca="false">SI(U35="Constante";PROMEDIO(AG35;AH35;AI35;AJ35);SI(U35="Suma";SUMA(AG35;AH35;AI35;AJ35);0))</f>
        <v>0</v>
      </c>
      <c r="AL35" s="40" t="n">
        <v>0</v>
      </c>
      <c r="AM35" s="43" t="n">
        <v>0</v>
      </c>
      <c r="AN35" s="45" t="n">
        <v>0</v>
      </c>
      <c r="AO35" s="45" t="n">
        <v>0</v>
      </c>
      <c r="AP35" s="40" t="n">
        <f aca="false">SI(U35="Constante";PROMEDIO(AL35;AM35;AN35;AO35);SI(U35="Suma";SUMA(AL35;AM35;AN35;AO35);0))</f>
        <v>0</v>
      </c>
      <c r="AQ35" s="46" t="n">
        <v>0</v>
      </c>
      <c r="AR35" s="46" t="n">
        <v>0</v>
      </c>
      <c r="AS35" s="46" t="n">
        <v>0</v>
      </c>
      <c r="AT35" s="47" t="n">
        <v>0</v>
      </c>
      <c r="AU35" s="46" t="n">
        <f aca="false">SUMA(AQ35:AT35)</f>
        <v>0</v>
      </c>
      <c r="AV35" s="46" t="n">
        <v>0</v>
      </c>
      <c r="AW35" s="46" t="n">
        <v>0</v>
      </c>
      <c r="AX35" s="46" t="n">
        <v>0</v>
      </c>
      <c r="AY35" s="47" t="n">
        <v>0</v>
      </c>
      <c r="AZ35" s="48" t="n">
        <f aca="false">SUMA(AV35:AY35)</f>
        <v>0</v>
      </c>
      <c r="BA35" s="49"/>
      <c r="BB35" s="49"/>
      <c r="BC35" s="49" t="s">
        <v>65</v>
      </c>
      <c r="BD35" s="51"/>
    </row>
    <row collapsed="false" customFormat="true" customHeight="true" hidden="false" ht="37.5" outlineLevel="0" r="36" s="52">
      <c r="A36" s="34" t="n">
        <f aca="false">VLOOKUP(B36,['file:///Users/user/Downloads/10. MUSI BOSA CORTE 31 DE DICIEMBRE 2016_INSUMO CONTRALORIA.xls']Hoja2!$B$47:$C$66,2,0)</f>
        <v>7</v>
      </c>
      <c r="B36" s="35" t="s">
        <v>43</v>
      </c>
      <c r="C36" s="34" t="n">
        <f aca="false">VLOOKUP(E36,['file:///Users/user/Downloads/10. MUSI BOSA CORTE 31 DE DICIEMBRE 2016_INSUMO CONTRALORIA.xls']Hoja2!$B$8:$C$10,2,0)</f>
        <v>1</v>
      </c>
      <c r="D36" s="113" t="s">
        <v>359</v>
      </c>
      <c r="E36" s="36" t="s">
        <v>44</v>
      </c>
      <c r="F36" s="34" t="n">
        <f aca="false">VLOOKUP(G36,['file:///Users/user/Downloads/10. MUSI BOSA CORTE 31 DE DICIEMBRE 2016_INSUMO CONTRALORIA.xls']Hoja2!$B$12:$C$40,2,0)</f>
        <v>15</v>
      </c>
      <c r="G36" s="36" t="s">
        <v>199</v>
      </c>
      <c r="H36" s="37" t="n">
        <v>357</v>
      </c>
      <c r="I36" s="36" t="s">
        <v>204</v>
      </c>
      <c r="J36" s="38" t="n">
        <f aca="false">VLOOKUP(K36,['file:///Users/user/Downloads/10. MUSI BOSA CORTE 31 DE DICIEMBRE 2016_INSUMO CONTRALORIA.xls']Hoja1!$D$81:$G$158,2,0)</f>
        <v>39</v>
      </c>
      <c r="K36" s="39" t="s">
        <v>205</v>
      </c>
      <c r="L36" s="38" t="n">
        <v>840</v>
      </c>
      <c r="M36" s="39" t="s">
        <v>201</v>
      </c>
      <c r="N36" s="38" t="n">
        <v>2</v>
      </c>
      <c r="O36" s="39" t="s">
        <v>56</v>
      </c>
      <c r="P36" s="40" t="n">
        <v>8000</v>
      </c>
      <c r="Q36" s="36" t="s">
        <v>63</v>
      </c>
      <c r="R36" s="36" t="s">
        <v>206</v>
      </c>
      <c r="S36" s="39" t="str">
        <f aca="false">VLOOKUP(K36,['file:///Users/user/Downloads/10. MUSI BOSA CORTE 31 DE DICIEMBRE 2016_INSUMO CONTRALORIA.xls']Hoja1!$D$81:$G$158,4,0)</f>
        <v>7. HABITAT</v>
      </c>
      <c r="T36" s="39" t="str">
        <f aca="false">VLOOKUP(K36,['file:///Users/user/Downloads/10. MUSI BOSA CORTE 31 DE DICIEMBRE 2016_INSUMO CONTRALORIA.xls']Hoja1!$D$81:$G$158,3,0)</f>
        <v>Regulación legalización de predios y apoyo a la vivienda</v>
      </c>
      <c r="U36" s="35" t="s">
        <v>52</v>
      </c>
      <c r="V36" s="41" t="n">
        <v>1</v>
      </c>
      <c r="W36" s="42" t="n">
        <f aca="false">AK36/P36</f>
        <v>0.55575</v>
      </c>
      <c r="X36" s="42" t="n">
        <f aca="false">V36*W36</f>
        <v>0.55575</v>
      </c>
      <c r="Y36" s="42" t="n">
        <f aca="false">AP36/P36</f>
        <v>0.528</v>
      </c>
      <c r="Z36" s="42" t="n">
        <f aca="false">Y36*V36</f>
        <v>0.528</v>
      </c>
      <c r="AA36" s="38" t="n">
        <v>0</v>
      </c>
      <c r="AB36" s="40" t="n">
        <v>2000</v>
      </c>
      <c r="AC36" s="40" t="n">
        <v>2000</v>
      </c>
      <c r="AD36" s="40" t="n">
        <v>2000</v>
      </c>
      <c r="AE36" s="40" t="n">
        <v>2000</v>
      </c>
      <c r="AF36" s="40" t="n">
        <f aca="false">SI(U36="Constante";PROMEDIO(AB36;AC36;AD36;AE36);SI(U36="Suma";SUMA(AB36;AC36;AD36;AE36);0))</f>
        <v>8000</v>
      </c>
      <c r="AG36" s="40" t="n">
        <v>2000</v>
      </c>
      <c r="AH36" s="40" t="n">
        <v>2000</v>
      </c>
      <c r="AI36" s="43" t="n">
        <v>446</v>
      </c>
      <c r="AJ36" s="44" t="n">
        <v>0</v>
      </c>
      <c r="AK36" s="40" t="n">
        <f aca="false">SI(U36="Constante";PROMEDIO(AG36;AH36;AI36;AJ36);SI(U36="Suma";SUMA(AG36;AH36;AI36;AJ36);0))</f>
        <v>4446</v>
      </c>
      <c r="AL36" s="40" t="n">
        <v>2000</v>
      </c>
      <c r="AM36" s="43" t="n">
        <f aca="false">1700+524</f>
        <v>2224</v>
      </c>
      <c r="AN36" s="45" t="n">
        <v>0</v>
      </c>
      <c r="AO36" s="45" t="n">
        <v>0</v>
      </c>
      <c r="AP36" s="40" t="n">
        <f aca="false">SI(U36="Constante";PROMEDIO(AL36;AM36;AN36;AO36);SI(U36="Suma";SUMA(AL36;AM36;AN36;AO36);0))</f>
        <v>4224</v>
      </c>
      <c r="AQ36" s="46" t="n">
        <v>127265605</v>
      </c>
      <c r="AR36" s="46" t="n">
        <v>202202016</v>
      </c>
      <c r="AS36" s="86" t="n">
        <v>95961143</v>
      </c>
      <c r="AT36" s="47" t="n">
        <v>0</v>
      </c>
      <c r="AU36" s="46" t="n">
        <f aca="false">SUMA(AQ36:AT36)</f>
        <v>425428764</v>
      </c>
      <c r="AV36" s="46" t="n">
        <v>0</v>
      </c>
      <c r="AW36" s="46" t="n">
        <v>0</v>
      </c>
      <c r="AX36" s="46" t="n">
        <v>38376686</v>
      </c>
      <c r="AY36" s="47" t="n">
        <v>0</v>
      </c>
      <c r="AZ36" s="48" t="n">
        <f aca="false">SUMA(AV36:AY36)</f>
        <v>38376686</v>
      </c>
      <c r="BA36" s="49"/>
      <c r="BB36" s="49"/>
      <c r="BC36" s="49" t="s">
        <v>207</v>
      </c>
      <c r="BD36" s="51" t="s">
        <v>208</v>
      </c>
    </row>
    <row collapsed="false" customFormat="true" customHeight="true" hidden="false" ht="37.5" outlineLevel="0" r="37" s="52">
      <c r="A37" s="34" t="n">
        <f aca="false">VLOOKUP(B37,['file:///Users/user/Downloads/10. MUSI BOSA CORTE 31 DE DICIEMBRE 2016_INSUMO CONTRALORIA.xls']Hoja2!$B$47:$C$66,2,0)</f>
        <v>7</v>
      </c>
      <c r="B37" s="35" t="s">
        <v>43</v>
      </c>
      <c r="C37" s="34" t="n">
        <f aca="false">VLOOKUP(E37,['file:///Users/user/Downloads/10. MUSI BOSA CORTE 31 DE DICIEMBRE 2016_INSUMO CONTRALORIA.xls']Hoja2!$B$8:$C$10,2,0)</f>
        <v>2</v>
      </c>
      <c r="D37" s="34" t="s">
        <v>360</v>
      </c>
      <c r="E37" s="36" t="s">
        <v>209</v>
      </c>
      <c r="F37" s="34" t="n">
        <f aca="false">VLOOKUP(G37,['file:///Users/user/Downloads/10. MUSI BOSA CORTE 31 DE DICIEMBRE 2016_INSUMO CONTRALORIA.xls']Hoja2!$B$12:$C$40,2,0)</f>
        <v>17</v>
      </c>
      <c r="G37" s="36" t="s">
        <v>210</v>
      </c>
      <c r="H37" s="37" t="n">
        <v>358</v>
      </c>
      <c r="I37" s="36" t="s">
        <v>211</v>
      </c>
      <c r="J37" s="38" t="n">
        <f aca="false">VLOOKUP(K37,['file:///Users/user/Downloads/10. MUSI BOSA CORTE 31 DE DICIEMBRE 2016_INSUMO CONTRALORIA.xls']Hoja1!$D$81:$G$158,2,0)</f>
        <v>59</v>
      </c>
      <c r="K37" s="39" t="s">
        <v>212</v>
      </c>
      <c r="L37" s="38" t="n">
        <v>841</v>
      </c>
      <c r="M37" s="39" t="s">
        <v>213</v>
      </c>
      <c r="N37" s="38" t="n">
        <v>1</v>
      </c>
      <c r="O37" s="39" t="s">
        <v>214</v>
      </c>
      <c r="P37" s="40" t="n">
        <v>8000</v>
      </c>
      <c r="Q37" s="36" t="s">
        <v>215</v>
      </c>
      <c r="R37" s="36" t="s">
        <v>216</v>
      </c>
      <c r="S37" s="39" t="str">
        <f aca="false">VLOOKUP(K37,['file:///Users/user/Downloads/10. MUSI BOSA CORTE 31 DE DICIEMBRE 2016_INSUMO CONTRALORIA.xls']Hoja1!$D$81:$G$158,4,0)</f>
        <v>1. AMBIENTE</v>
      </c>
      <c r="T37" s="39" t="str">
        <f aca="false">VLOOKUP(K37,['file:///Users/user/Downloads/10. MUSI BOSA CORTE 31 DE DICIEMBRE 2016_INSUMO CONTRALORIA.xls']Hoja1!$D$81:$G$158,3,0)</f>
        <v>Plantación y mantenimiento de arboles, jardines y especies vegetales </v>
      </c>
      <c r="U37" s="35" t="s">
        <v>52</v>
      </c>
      <c r="V37" s="41" t="n">
        <v>1</v>
      </c>
      <c r="W37" s="42" t="n">
        <f aca="false">AK37/P37</f>
        <v>0.6875</v>
      </c>
      <c r="X37" s="42" t="n">
        <f aca="false">V37*W37</f>
        <v>0.6875</v>
      </c>
      <c r="Y37" s="42" t="n">
        <f aca="false">AP37/P37</f>
        <v>0.75</v>
      </c>
      <c r="Z37" s="42" t="n">
        <f aca="false">Y37*V37</f>
        <v>0.75</v>
      </c>
      <c r="AA37" s="38" t="n">
        <v>0</v>
      </c>
      <c r="AB37" s="40" t="n">
        <v>2000</v>
      </c>
      <c r="AC37" s="40" t="n">
        <v>2000</v>
      </c>
      <c r="AD37" s="40" t="n">
        <v>2000</v>
      </c>
      <c r="AE37" s="40" t="n">
        <v>2000</v>
      </c>
      <c r="AF37" s="40" t="n">
        <f aca="false">SI(U37="Constante";PROMEDIO(AB37;AC37;AD37;AE37);SI(U37="Suma";SUMA(AB37;AC37;AD37;AE37);0))</f>
        <v>8000</v>
      </c>
      <c r="AG37" s="40" t="n">
        <v>2500</v>
      </c>
      <c r="AH37" s="40" t="n">
        <v>0</v>
      </c>
      <c r="AI37" s="43" t="n">
        <v>3000</v>
      </c>
      <c r="AJ37" s="44" t="n">
        <v>0</v>
      </c>
      <c r="AK37" s="40" t="n">
        <f aca="false">SI(U37="Constante";PROMEDIO(AG37;AH37;AI37;AJ37);SI(U37="Suma";SUMA(AG37;AH37;AI37;AJ37);0))</f>
        <v>5500</v>
      </c>
      <c r="AL37" s="40" t="n">
        <v>3000</v>
      </c>
      <c r="AM37" s="43" t="n">
        <v>0</v>
      </c>
      <c r="AN37" s="45" t="n">
        <v>3000</v>
      </c>
      <c r="AO37" s="45" t="n">
        <v>0</v>
      </c>
      <c r="AP37" s="40" t="n">
        <f aca="false">SI(U37="Constante";PROMEDIO(AL37;AM37;AN37;AO37);SI(U37="Suma";SUMA(AL37;AM37;AN37;AO37);0))</f>
        <v>6000</v>
      </c>
      <c r="AQ37" s="46" t="n">
        <v>300000000</v>
      </c>
      <c r="AR37" s="46" t="n">
        <v>0</v>
      </c>
      <c r="AS37" s="46" t="n">
        <v>857259098</v>
      </c>
      <c r="AT37" s="47" t="n">
        <f aca="false">334697552+52953618</f>
        <v>387651170</v>
      </c>
      <c r="AU37" s="46" t="n">
        <f aca="false">SUMA(AQ37:AT37)</f>
        <v>1544910268</v>
      </c>
      <c r="AV37" s="46" t="n">
        <v>0</v>
      </c>
      <c r="AW37" s="46" t="n">
        <v>0</v>
      </c>
      <c r="AX37" s="46" t="n">
        <v>311131468</v>
      </c>
      <c r="AY37" s="47" t="n">
        <v>0</v>
      </c>
      <c r="AZ37" s="48" t="n">
        <f aca="false">SUMA(AV37:AY37)</f>
        <v>311131468</v>
      </c>
      <c r="BA37" s="49"/>
      <c r="BB37" s="49"/>
      <c r="BC37" s="49" t="s">
        <v>217</v>
      </c>
      <c r="BD37" s="51" t="s">
        <v>218</v>
      </c>
    </row>
    <row collapsed="false" customFormat="true" customHeight="true" hidden="false" ht="37.5" outlineLevel="0" r="38" s="52">
      <c r="A38" s="34" t="n">
        <f aca="false">VLOOKUP(B38,['file:///Users/user/Downloads/10. MUSI BOSA CORTE 31 DE DICIEMBRE 2016_INSUMO CONTRALORIA.xls']Hoja2!$B$47:$C$66,2,0)</f>
        <v>7</v>
      </c>
      <c r="B38" s="35" t="s">
        <v>43</v>
      </c>
      <c r="C38" s="34" t="n">
        <f aca="false">VLOOKUP(E38,['file:///Users/user/Downloads/10. MUSI BOSA CORTE 31 DE DICIEMBRE 2016_INSUMO CONTRALORIA.xls']Hoja2!$B$8:$C$10,2,0)</f>
        <v>2</v>
      </c>
      <c r="D38" s="34" t="s">
        <v>360</v>
      </c>
      <c r="E38" s="36" t="s">
        <v>209</v>
      </c>
      <c r="F38" s="34" t="n">
        <f aca="false">VLOOKUP(G38,['file:///Users/user/Downloads/10. MUSI BOSA CORTE 31 DE DICIEMBRE 2016_INSUMO CONTRALORIA.xls']Hoja2!$B$12:$C$40,2,0)</f>
        <v>17</v>
      </c>
      <c r="G38" s="36" t="s">
        <v>210</v>
      </c>
      <c r="H38" s="37" t="n">
        <v>359</v>
      </c>
      <c r="I38" s="36" t="s">
        <v>219</v>
      </c>
      <c r="J38" s="38" t="n">
        <f aca="false">VLOOKUP(K38,['file:///Users/user/Downloads/10. MUSI BOSA CORTE 31 DE DICIEMBRE 2016_INSUMO CONTRALORIA.xls']Hoja1!$D$81:$G$158,2,0)</f>
        <v>45</v>
      </c>
      <c r="K38" s="39" t="s">
        <v>220</v>
      </c>
      <c r="L38" s="38" t="n">
        <v>841</v>
      </c>
      <c r="M38" s="39" t="s">
        <v>213</v>
      </c>
      <c r="N38" s="38" t="n">
        <v>2</v>
      </c>
      <c r="O38" s="39" t="s">
        <v>221</v>
      </c>
      <c r="P38" s="40" t="n">
        <v>320000</v>
      </c>
      <c r="Q38" s="36" t="s">
        <v>222</v>
      </c>
      <c r="R38" s="36" t="s">
        <v>223</v>
      </c>
      <c r="S38" s="39" t="str">
        <f aca="false">VLOOKUP(K38,['file:///Users/user/Downloads/10. MUSI BOSA CORTE 31 DE DICIEMBRE 2016_INSUMO CONTRALORIA.xls']Hoja1!$D$81:$G$158,4,0)</f>
        <v>1. AMBIENTE</v>
      </c>
      <c r="T38" s="39" t="str">
        <f aca="false">VLOOKUP(K38,['file:///Users/user/Downloads/10. MUSI BOSA CORTE 31 DE DICIEMBRE 2016_INSUMO CONTRALORIA.xls']Hoja1!$D$81:$G$158,3,0)</f>
        <v>Calidad ambiental y preservación del patrimonio natural</v>
      </c>
      <c r="U38" s="35" t="s">
        <v>52</v>
      </c>
      <c r="V38" s="41" t="n">
        <v>1</v>
      </c>
      <c r="W38" s="42" t="n">
        <f aca="false">AK38/P38</f>
        <v>0.58703125</v>
      </c>
      <c r="X38" s="42" t="n">
        <f aca="false">V38*W38</f>
        <v>0.58703125</v>
      </c>
      <c r="Y38" s="42" t="n">
        <f aca="false">AP38/P38</f>
        <v>0.729625</v>
      </c>
      <c r="Z38" s="42" t="n">
        <f aca="false">Y38*V38</f>
        <v>0.729625</v>
      </c>
      <c r="AA38" s="38" t="n">
        <v>0</v>
      </c>
      <c r="AB38" s="40" t="n">
        <v>80000</v>
      </c>
      <c r="AC38" s="40" t="n">
        <v>80000</v>
      </c>
      <c r="AD38" s="40" t="n">
        <v>80000</v>
      </c>
      <c r="AE38" s="40" t="n">
        <v>80000</v>
      </c>
      <c r="AF38" s="40" t="n">
        <f aca="false">SI(U38="Constante";PROMEDIO(AB38;AC38;AD38;AE38);SI(U38="Suma";SUMA(AB38;AC38;AD38;AE38);0))</f>
        <v>320000</v>
      </c>
      <c r="AG38" s="40" t="n">
        <v>80000</v>
      </c>
      <c r="AH38" s="40" t="n">
        <v>90000</v>
      </c>
      <c r="AI38" s="43" t="n">
        <v>17850</v>
      </c>
      <c r="AJ38" s="44" t="n">
        <v>0</v>
      </c>
      <c r="AK38" s="40" t="n">
        <f aca="false">SI(U38="Constante";PROMEDIO(AG38;AH38;AI38;AJ38);SI(U38="Suma";SUMA(AG38;AH38;AI38;AJ38);0))</f>
        <v>187850</v>
      </c>
      <c r="AL38" s="40" t="n">
        <v>96910</v>
      </c>
      <c r="AM38" s="43" t="n">
        <v>108000</v>
      </c>
      <c r="AN38" s="45" t="n">
        <f aca="false">17850+10720</f>
        <v>28570</v>
      </c>
      <c r="AO38" s="45" t="n">
        <v>0</v>
      </c>
      <c r="AP38" s="40" t="n">
        <f aca="false">SI(U38="Constante";PROMEDIO(AL38;AM38;AN38;AO38);SI(U38="Suma";SUMA(AL38;AM38;AN38;AO38);0))</f>
        <v>233480</v>
      </c>
      <c r="AQ38" s="46" t="n">
        <v>150000000</v>
      </c>
      <c r="AR38" s="46" t="n">
        <v>2975629230</v>
      </c>
      <c r="AS38" s="86" t="n">
        <f aca="false">9000000+136232768+300984091+75646368</f>
        <v>521863227</v>
      </c>
      <c r="AT38" s="47" t="n">
        <v>0</v>
      </c>
      <c r="AU38" s="46" t="n">
        <f aca="false">SUMA(AQ38:AT38)</f>
        <v>3647492457</v>
      </c>
      <c r="AV38" s="46" t="n">
        <v>0</v>
      </c>
      <c r="AW38" s="46" t="n">
        <v>0</v>
      </c>
      <c r="AX38" s="46" t="n">
        <v>600000</v>
      </c>
      <c r="AY38" s="47" t="n">
        <v>0</v>
      </c>
      <c r="AZ38" s="48" t="n">
        <f aca="false">SUMA(AV38:AY38)</f>
        <v>600000</v>
      </c>
      <c r="BA38" s="49"/>
      <c r="BB38" s="49"/>
      <c r="BC38" s="49" t="s">
        <v>217</v>
      </c>
      <c r="BD38" s="51"/>
    </row>
    <row collapsed="false" customFormat="true" customHeight="true" hidden="false" ht="37.5" outlineLevel="0" r="39" s="52">
      <c r="A39" s="34" t="n">
        <f aca="false">VLOOKUP(B39,['file:///Users/user/Downloads/10. MUSI BOSA CORTE 31 DE DICIEMBRE 2016_INSUMO CONTRALORIA.xls']Hoja2!$B$47:$C$66,2,0)</f>
        <v>7</v>
      </c>
      <c r="B39" s="35" t="s">
        <v>43</v>
      </c>
      <c r="C39" s="34" t="n">
        <f aca="false">VLOOKUP(E39,['file:///Users/user/Downloads/10. MUSI BOSA CORTE 31 DE DICIEMBRE 2016_INSUMO CONTRALORIA.xls']Hoja2!$B$8:$C$10,2,0)</f>
        <v>2</v>
      </c>
      <c r="D39" s="34" t="s">
        <v>360</v>
      </c>
      <c r="E39" s="36" t="s">
        <v>209</v>
      </c>
      <c r="F39" s="34" t="n">
        <f aca="false">VLOOKUP(G39,['file:///Users/user/Downloads/10. MUSI BOSA CORTE 31 DE DICIEMBRE 2016_INSUMO CONTRALORIA.xls']Hoja2!$B$12:$C$40,2,0)</f>
        <v>17</v>
      </c>
      <c r="G39" s="36" t="s">
        <v>210</v>
      </c>
      <c r="H39" s="37" t="n">
        <v>360</v>
      </c>
      <c r="I39" s="36" t="s">
        <v>224</v>
      </c>
      <c r="J39" s="38" t="n">
        <f aca="false">VLOOKUP(K39,['file:///Users/user/Downloads/10. MUSI BOSA CORTE 31 DE DICIEMBRE 2016_INSUMO CONTRALORIA.xls']Hoja1!$D$81:$G$158,2,0)</f>
        <v>41</v>
      </c>
      <c r="K39" s="39" t="s">
        <v>225</v>
      </c>
      <c r="L39" s="38" t="n">
        <v>841</v>
      </c>
      <c r="M39" s="39" t="s">
        <v>213</v>
      </c>
      <c r="N39" s="38" t="n">
        <v>3</v>
      </c>
      <c r="O39" s="39" t="s">
        <v>56</v>
      </c>
      <c r="P39" s="40" t="n">
        <v>2000</v>
      </c>
      <c r="Q39" s="36" t="s">
        <v>63</v>
      </c>
      <c r="R39" s="36" t="s">
        <v>226</v>
      </c>
      <c r="S39" s="39" t="str">
        <f aca="false">VLOOKUP(K39,['file:///Users/user/Downloads/10. MUSI BOSA CORTE 31 DE DICIEMBRE 2016_INSUMO CONTRALORIA.xls']Hoja1!$D$81:$G$158,4,0)</f>
        <v>1. AMBIENTE</v>
      </c>
      <c r="T39" s="39" t="str">
        <f aca="false">VLOOKUP(K39,['file:///Users/user/Downloads/10. MUSI BOSA CORTE 31 DE DICIEMBRE 2016_INSUMO CONTRALORIA.xls']Hoja1!$D$81:$G$158,3,0)</f>
        <v>Calidad ambiental y preservación del patrimonio natural</v>
      </c>
      <c r="U39" s="35" t="s">
        <v>52</v>
      </c>
      <c r="V39" s="41" t="n">
        <v>1</v>
      </c>
      <c r="W39" s="42" t="n">
        <f aca="false">AK39/P39</f>
        <v>1</v>
      </c>
      <c r="X39" s="42" t="n">
        <f aca="false">V39*W39</f>
        <v>1</v>
      </c>
      <c r="Y39" s="42" t="n">
        <f aca="false">AP39/P39</f>
        <v>1.4</v>
      </c>
      <c r="Z39" s="42" t="n">
        <f aca="false">Y39*V39</f>
        <v>1.4</v>
      </c>
      <c r="AA39" s="38" t="n">
        <v>0</v>
      </c>
      <c r="AB39" s="40" t="n">
        <v>500</v>
      </c>
      <c r="AC39" s="40" t="n">
        <v>500</v>
      </c>
      <c r="AD39" s="40" t="n">
        <v>500</v>
      </c>
      <c r="AE39" s="40" t="n">
        <v>500</v>
      </c>
      <c r="AF39" s="40" t="n">
        <f aca="false">SI(U39="Constante";PROMEDIO(AB39;AC39;AD39;AE39);SI(U39="Suma";SUMA(AB39;AC39;AD39;AE39);0))</f>
        <v>2000</v>
      </c>
      <c r="AG39" s="40" t="n">
        <v>500</v>
      </c>
      <c r="AH39" s="40" t="n">
        <v>1500</v>
      </c>
      <c r="AI39" s="43" t="n">
        <v>0</v>
      </c>
      <c r="AJ39" s="44" t="n">
        <v>0</v>
      </c>
      <c r="AK39" s="40" t="n">
        <f aca="false">SI(U39="Constante";PROMEDIO(AG39;AH39;AI39;AJ39);SI(U39="Suma";SUMA(AG39;AH39;AI39;AJ39);0))</f>
        <v>2000</v>
      </c>
      <c r="AL39" s="40" t="n">
        <f aca="false">400+200+500</f>
        <v>1100</v>
      </c>
      <c r="AM39" s="43" t="n">
        <v>1700</v>
      </c>
      <c r="AN39" s="45" t="n">
        <v>0</v>
      </c>
      <c r="AO39" s="45" t="n">
        <v>0</v>
      </c>
      <c r="AP39" s="40" t="n">
        <f aca="false">SI(U39="Constante";PROMEDIO(AL39;AM39;AN39;AO39);SI(U39="Suma";SUMA(AL39;AM39;AN39;AO39);0))</f>
        <v>2800</v>
      </c>
      <c r="AQ39" s="46" t="n">
        <v>300000000</v>
      </c>
      <c r="AR39" s="46" t="n">
        <v>323370743</v>
      </c>
      <c r="AS39" s="46" t="n">
        <v>0</v>
      </c>
      <c r="AT39" s="47" t="n">
        <v>0</v>
      </c>
      <c r="AU39" s="46" t="n">
        <f aca="false">SUMA(AQ39:AT39)</f>
        <v>623370743</v>
      </c>
      <c r="AV39" s="46" t="n">
        <v>0</v>
      </c>
      <c r="AW39" s="46" t="n">
        <v>0</v>
      </c>
      <c r="AX39" s="46" t="n">
        <v>0</v>
      </c>
      <c r="AY39" s="47" t="n">
        <v>0</v>
      </c>
      <c r="AZ39" s="48" t="n">
        <f aca="false">SUMA(AV39:AY39)</f>
        <v>0</v>
      </c>
      <c r="BA39" s="49"/>
      <c r="BB39" s="49"/>
      <c r="BC39" s="49" t="s">
        <v>217</v>
      </c>
      <c r="BD39" s="51"/>
    </row>
    <row collapsed="false" customFormat="true" customHeight="true" hidden="false" ht="37.5" outlineLevel="0" r="40" s="52">
      <c r="A40" s="34" t="n">
        <f aca="false">VLOOKUP(B40,['file:///Users/user/Downloads/10. MUSI BOSA CORTE 31 DE DICIEMBRE 2016_INSUMO CONTRALORIA.xls']Hoja2!$B$47:$C$66,2,0)</f>
        <v>7</v>
      </c>
      <c r="B40" s="35" t="s">
        <v>43</v>
      </c>
      <c r="C40" s="34" t="n">
        <f aca="false">VLOOKUP(E40,['file:///Users/user/Downloads/10. MUSI BOSA CORTE 31 DE DICIEMBRE 2016_INSUMO CONTRALORIA.xls']Hoja2!$B$8:$C$10,2,0)</f>
        <v>2</v>
      </c>
      <c r="D40" s="34" t="s">
        <v>360</v>
      </c>
      <c r="E40" s="36" t="s">
        <v>209</v>
      </c>
      <c r="F40" s="34" t="n">
        <f aca="false">VLOOKUP(G40,['file:///Users/user/Downloads/10. MUSI BOSA CORTE 31 DE DICIEMBRE 2016_INSUMO CONTRALORIA.xls']Hoja2!$B$12:$C$40,2,0)</f>
        <v>17</v>
      </c>
      <c r="G40" s="36" t="s">
        <v>210</v>
      </c>
      <c r="H40" s="37" t="n">
        <v>361</v>
      </c>
      <c r="I40" s="36" t="s">
        <v>227</v>
      </c>
      <c r="J40" s="38" t="n">
        <f aca="false">VLOOKUP(K40,['file:///Users/user/Downloads/10. MUSI BOSA CORTE 31 DE DICIEMBRE 2016_INSUMO CONTRALORIA.xls']Hoja1!$D$81:$G$158,2,0)</f>
        <v>41</v>
      </c>
      <c r="K40" s="39" t="s">
        <v>225</v>
      </c>
      <c r="L40" s="38" t="n">
        <v>841</v>
      </c>
      <c r="M40" s="39" t="s">
        <v>213</v>
      </c>
      <c r="N40" s="38" t="n">
        <v>4</v>
      </c>
      <c r="O40" s="39" t="s">
        <v>56</v>
      </c>
      <c r="P40" s="40" t="n">
        <v>80</v>
      </c>
      <c r="Q40" s="36" t="s">
        <v>63</v>
      </c>
      <c r="R40" s="36" t="s">
        <v>228</v>
      </c>
      <c r="S40" s="39" t="str">
        <f aca="false">VLOOKUP(K40,['file:///Users/user/Downloads/10. MUSI BOSA CORTE 31 DE DICIEMBRE 2016_INSUMO CONTRALORIA.xls']Hoja1!$D$81:$G$158,4,0)</f>
        <v>1. AMBIENTE</v>
      </c>
      <c r="T40" s="39" t="str">
        <f aca="false">VLOOKUP(K40,['file:///Users/user/Downloads/10. MUSI BOSA CORTE 31 DE DICIEMBRE 2016_INSUMO CONTRALORIA.xls']Hoja1!$D$81:$G$158,3,0)</f>
        <v>Calidad ambiental y preservación del patrimonio natural</v>
      </c>
      <c r="U40" s="35" t="s">
        <v>52</v>
      </c>
      <c r="V40" s="41" t="n">
        <v>1</v>
      </c>
      <c r="W40" s="42" t="n">
        <f aca="false">AK40/P40</f>
        <v>1.25</v>
      </c>
      <c r="X40" s="42" t="n">
        <f aca="false">V40*W40</f>
        <v>1.25</v>
      </c>
      <c r="Y40" s="42" t="n">
        <f aca="false">AP40/P40</f>
        <v>0.75</v>
      </c>
      <c r="Z40" s="42" t="n">
        <f aca="false">Y40*V40</f>
        <v>0.75</v>
      </c>
      <c r="AA40" s="38" t="n">
        <v>0</v>
      </c>
      <c r="AB40" s="40" t="n">
        <v>20</v>
      </c>
      <c r="AC40" s="40" t="n">
        <v>20</v>
      </c>
      <c r="AD40" s="40" t="n">
        <v>20</v>
      </c>
      <c r="AE40" s="40" t="n">
        <v>20</v>
      </c>
      <c r="AF40" s="40" t="n">
        <f aca="false">SI(U40="Constante";PROMEDIO(AB40;AC40;AD40;AE40);SI(U40="Suma";SUMA(AB40;AC40;AD40;AE40);0))</f>
        <v>80</v>
      </c>
      <c r="AG40" s="40" t="n">
        <v>20</v>
      </c>
      <c r="AH40" s="40" t="n">
        <v>20</v>
      </c>
      <c r="AI40" s="43" t="n">
        <v>20</v>
      </c>
      <c r="AJ40" s="44" t="n">
        <v>40</v>
      </c>
      <c r="AK40" s="40" t="n">
        <f aca="false">SI(U40="Constante";PROMEDIO(AG40;AH40;AI40;AJ40);SI(U40="Suma";SUMA(AG40;AH40;AI40;AJ40);0))</f>
        <v>100</v>
      </c>
      <c r="AL40" s="40" t="n">
        <v>20</v>
      </c>
      <c r="AM40" s="43" t="n">
        <v>20</v>
      </c>
      <c r="AN40" s="45" t="n">
        <v>20</v>
      </c>
      <c r="AO40" s="45" t="n">
        <v>0</v>
      </c>
      <c r="AP40" s="40" t="n">
        <f aca="false">SI(U40="Constante";PROMEDIO(AL40;AM40;AN40;AO40);SI(U40="Suma";SUMA(AL40;AM40;AN40;AO40);0))</f>
        <v>60</v>
      </c>
      <c r="AQ40" s="46" t="n">
        <v>210000000</v>
      </c>
      <c r="AR40" s="46" t="n">
        <v>289000027</v>
      </c>
      <c r="AS40" s="46" t="n">
        <v>420877675</v>
      </c>
      <c r="AT40" s="47" t="n">
        <v>650000000</v>
      </c>
      <c r="AU40" s="46" t="n">
        <f aca="false">SUMA(AQ40:AT40)</f>
        <v>1569877702</v>
      </c>
      <c r="AV40" s="46" t="n">
        <v>0</v>
      </c>
      <c r="AW40" s="46" t="n">
        <v>139680005</v>
      </c>
      <c r="AX40" s="46" t="n">
        <v>205261285</v>
      </c>
      <c r="AY40" s="47" t="n">
        <v>0</v>
      </c>
      <c r="AZ40" s="48" t="n">
        <f aca="false">SUMA(AV40:AY40)</f>
        <v>344941290</v>
      </c>
      <c r="BA40" s="49"/>
      <c r="BB40" s="49"/>
      <c r="BC40" s="49" t="s">
        <v>217</v>
      </c>
      <c r="BD40" s="51"/>
      <c r="BF40" s="52" t="n">
        <f aca="false">1000000000-221000000</f>
        <v>779000000</v>
      </c>
    </row>
    <row collapsed="false" customFormat="true" customHeight="true" hidden="false" ht="37.5" outlineLevel="0" r="41" s="52">
      <c r="A41" s="34" t="n">
        <f aca="false">VLOOKUP(B41,['file:///Users/user/Downloads/10. MUSI BOSA CORTE 31 DE DICIEMBRE 2016_INSUMO CONTRALORIA.xls']Hoja2!$B$47:$C$66,2,0)</f>
        <v>7</v>
      </c>
      <c r="B41" s="35" t="s">
        <v>43</v>
      </c>
      <c r="C41" s="34" t="n">
        <f aca="false">VLOOKUP(E41,['file:///Users/user/Downloads/10. MUSI BOSA CORTE 31 DE DICIEMBRE 2016_INSUMO CONTRALORIA.xls']Hoja2!$B$8:$C$10,2,0)</f>
        <v>2</v>
      </c>
      <c r="D41" s="34" t="s">
        <v>360</v>
      </c>
      <c r="E41" s="36" t="s">
        <v>209</v>
      </c>
      <c r="F41" s="34" t="n">
        <f aca="false">VLOOKUP(G41,['file:///Users/user/Downloads/10. MUSI BOSA CORTE 31 DE DICIEMBRE 2016_INSUMO CONTRALORIA.xls']Hoja2!$B$12:$C$40,2,0)</f>
        <v>17</v>
      </c>
      <c r="G41" s="36" t="s">
        <v>210</v>
      </c>
      <c r="H41" s="37" t="n">
        <v>362</v>
      </c>
      <c r="I41" s="36" t="s">
        <v>229</v>
      </c>
      <c r="J41" s="38" t="n">
        <f aca="false">VLOOKUP(K41,['file:///Users/user/Downloads/10. MUSI BOSA CORTE 31 DE DICIEMBRE 2016_INSUMO CONTRALORIA.xls']Hoja1!$D$81:$G$158,2,0)</f>
        <v>6</v>
      </c>
      <c r="K41" s="39" t="s">
        <v>230</v>
      </c>
      <c r="L41" s="38" t="n">
        <v>841</v>
      </c>
      <c r="M41" s="39" t="s">
        <v>213</v>
      </c>
      <c r="N41" s="38" t="n">
        <v>5</v>
      </c>
      <c r="O41" s="39" t="s">
        <v>231</v>
      </c>
      <c r="P41" s="40" t="n">
        <v>20000</v>
      </c>
      <c r="Q41" s="36" t="s">
        <v>222</v>
      </c>
      <c r="R41" s="36" t="s">
        <v>232</v>
      </c>
      <c r="S41" s="39" t="str">
        <f aca="false">VLOOKUP(K41,['file:///Users/user/Downloads/10. MUSI BOSA CORTE 31 DE DICIEMBRE 2016_INSUMO CONTRALORIA.xls']Hoja1!$D$81:$G$158,4,0)</f>
        <v>9. SALUD</v>
      </c>
      <c r="T41" s="39" t="str">
        <f aca="false">VLOOKUP(K41,['file:///Users/user/Downloads/10. MUSI BOSA CORTE 31 DE DICIEMBRE 2016_INSUMO CONTRALORIA.xls']Hoja1!$D$81:$G$158,3,0)</f>
        <v>Inspección, vigilancia y control(IVC) del sistema de salud</v>
      </c>
      <c r="U41" s="35" t="s">
        <v>52</v>
      </c>
      <c r="V41" s="41" t="n">
        <v>1</v>
      </c>
      <c r="W41" s="42" t="n">
        <f aca="false">AK41/P41</f>
        <v>9.6</v>
      </c>
      <c r="X41" s="42" t="n">
        <f aca="false">V41*W41</f>
        <v>9.6</v>
      </c>
      <c r="Y41" s="42" t="n">
        <f aca="false">AP41/P41</f>
        <v>4</v>
      </c>
      <c r="Z41" s="42" t="n">
        <f aca="false">Y41*V41</f>
        <v>4</v>
      </c>
      <c r="AA41" s="38" t="n">
        <v>0</v>
      </c>
      <c r="AB41" s="40" t="n">
        <v>5000</v>
      </c>
      <c r="AC41" s="40" t="n">
        <v>5000</v>
      </c>
      <c r="AD41" s="40" t="n">
        <v>5000</v>
      </c>
      <c r="AE41" s="40" t="n">
        <v>5000</v>
      </c>
      <c r="AF41" s="40" t="n">
        <f aca="false">SI(U41="Constante";PROMEDIO(AB41;AC41;AD41;AE41);SI(U41="Suma";SUMA(AB41;AC41;AD41;AE41);0))</f>
        <v>20000</v>
      </c>
      <c r="AG41" s="40" t="n">
        <v>80000</v>
      </c>
      <c r="AH41" s="40" t="n">
        <v>0</v>
      </c>
      <c r="AI41" s="43" t="n">
        <v>0</v>
      </c>
      <c r="AJ41" s="44" t="n">
        <v>112000</v>
      </c>
      <c r="AK41" s="40" t="n">
        <f aca="false">SI(U41="Constante";PROMEDIO(AG41;AH41;AI41;AJ41);SI(U41="Suma";SUMA(AG41;AH41;AI41;AJ41);0))</f>
        <v>192000</v>
      </c>
      <c r="AL41" s="40" t="n">
        <v>80000</v>
      </c>
      <c r="AM41" s="43" t="n">
        <v>0</v>
      </c>
      <c r="AN41" s="45" t="n">
        <v>0</v>
      </c>
      <c r="AO41" s="45" t="n">
        <v>0</v>
      </c>
      <c r="AP41" s="40" t="n">
        <f aca="false">SI(U41="Constante";PROMEDIO(AL41;AM41;AN41;AO41);SI(U41="Suma";SUMA(AL41;AM41;AN41;AO41);0))</f>
        <v>80000</v>
      </c>
      <c r="AQ41" s="46" t="n">
        <f aca="false">145000000+12000000</f>
        <v>157000000</v>
      </c>
      <c r="AR41" s="46" t="n">
        <v>0</v>
      </c>
      <c r="AS41" s="46" t="n">
        <v>0</v>
      </c>
      <c r="AT41" s="47" t="n">
        <v>274693000</v>
      </c>
      <c r="AU41" s="46" t="n">
        <f aca="false">SUMA(AQ41:AT41)</f>
        <v>431693000</v>
      </c>
      <c r="AV41" s="46" t="n">
        <v>0</v>
      </c>
      <c r="AW41" s="46" t="n">
        <v>0</v>
      </c>
      <c r="AX41" s="46" t="n">
        <v>0</v>
      </c>
      <c r="AY41" s="47" t="n">
        <v>0</v>
      </c>
      <c r="AZ41" s="48" t="n">
        <f aca="false">SUMA(AV41:AY41)</f>
        <v>0</v>
      </c>
      <c r="BA41" s="49"/>
      <c r="BB41" s="49"/>
      <c r="BC41" s="49" t="s">
        <v>65</v>
      </c>
      <c r="BD41" s="51" t="s">
        <v>233</v>
      </c>
    </row>
    <row collapsed="false" customFormat="true" customHeight="true" hidden="false" ht="37.5" outlineLevel="0" r="42" s="52">
      <c r="A42" s="34" t="n">
        <f aca="false">VLOOKUP(B42,['file:///Users/user/Downloads/10. MUSI BOSA CORTE 31 DE DICIEMBRE 2016_INSUMO CONTRALORIA.xls']Hoja2!$B$47:$C$66,2,0)</f>
        <v>7</v>
      </c>
      <c r="B42" s="35" t="s">
        <v>43</v>
      </c>
      <c r="C42" s="34" t="n">
        <f aca="false">VLOOKUP(E42,['file:///Users/user/Downloads/10. MUSI BOSA CORTE 31 DE DICIEMBRE 2016_INSUMO CONTRALORIA.xls']Hoja2!$B$8:$C$10,2,0)</f>
        <v>2</v>
      </c>
      <c r="D42" s="34" t="s">
        <v>360</v>
      </c>
      <c r="E42" s="36" t="s">
        <v>209</v>
      </c>
      <c r="F42" s="34" t="n">
        <f aca="false">VLOOKUP(G42,['file:///Users/user/Downloads/10. MUSI BOSA CORTE 31 DE DICIEMBRE 2016_INSUMO CONTRALORIA.xls']Hoja2!$B$12:$C$40,2,0)</f>
        <v>19</v>
      </c>
      <c r="G42" s="36" t="s">
        <v>234</v>
      </c>
      <c r="H42" s="37" t="n">
        <v>363</v>
      </c>
      <c r="I42" s="36" t="s">
        <v>235</v>
      </c>
      <c r="J42" s="38" t="n">
        <f aca="false">VLOOKUP(K42,['file:///Users/user/Downloads/10. MUSI BOSA CORTE 31 DE DICIEMBRE 2016_INSUMO CONTRALORIA.xls']Hoja1!$D$81:$G$158,2,0)</f>
        <v>46</v>
      </c>
      <c r="K42" s="39" t="s">
        <v>236</v>
      </c>
      <c r="L42" s="38" t="n">
        <v>843</v>
      </c>
      <c r="M42" s="39" t="s">
        <v>237</v>
      </c>
      <c r="N42" s="38" t="n">
        <v>1</v>
      </c>
      <c r="O42" s="39" t="s">
        <v>238</v>
      </c>
      <c r="P42" s="40" t="n">
        <v>46</v>
      </c>
      <c r="Q42" s="36" t="s">
        <v>239</v>
      </c>
      <c r="R42" s="36" t="s">
        <v>240</v>
      </c>
      <c r="S42" s="39" t="str">
        <f aca="false">VLOOKUP(K42,['file:///Users/user/Downloads/10. MUSI BOSA CORTE 31 DE DICIEMBRE 2016_INSUMO CONTRALORIA.xls']Hoja1!$D$81:$G$158,4,0)</f>
        <v>8. MOVILIDAD</v>
      </c>
      <c r="T42" s="39" t="str">
        <f aca="false">VLOOKUP(K42,['file:///Users/user/Downloads/10. MUSI BOSA CORTE 31 DE DICIEMBRE 2016_INSUMO CONTRALORIA.xls']Hoja1!$D$81:$G$158,3,0)</f>
        <v>Vías Locales</v>
      </c>
      <c r="U42" s="35" t="s">
        <v>52</v>
      </c>
      <c r="V42" s="41" t="n">
        <v>1</v>
      </c>
      <c r="W42" s="42" t="n">
        <f aca="false">AK42/P42</f>
        <v>1.42381623913044</v>
      </c>
      <c r="X42" s="42" t="n">
        <f aca="false">V42*W42</f>
        <v>1.42381623913044</v>
      </c>
      <c r="Y42" s="42" t="n">
        <f aca="false">AP42/P42</f>
        <v>1.04521739130435</v>
      </c>
      <c r="Z42" s="42" t="n">
        <f aca="false">Y42*V42</f>
        <v>1.04521739130435</v>
      </c>
      <c r="AA42" s="38" t="n">
        <v>25</v>
      </c>
      <c r="AB42" s="87" t="s">
        <v>241</v>
      </c>
      <c r="AC42" s="87" t="s">
        <v>241</v>
      </c>
      <c r="AD42" s="87" t="s">
        <v>241</v>
      </c>
      <c r="AE42" s="87" t="s">
        <v>241</v>
      </c>
      <c r="AF42" s="40" t="n">
        <f aca="false">SI(U42="Constante";PROMEDIO(AB42;AC42;AD42;AE42);SI(U42="Suma";SUMA(AB42;AC42;AD42;AE42);0))</f>
        <v>0</v>
      </c>
      <c r="AG42" s="88" t="n">
        <f aca="false">12+1.09</f>
        <v>13.09</v>
      </c>
      <c r="AH42" s="88" t="n">
        <f aca="false">19.43+2.3</f>
        <v>21.73</v>
      </c>
      <c r="AI42" s="89" t="n">
        <v>13.5</v>
      </c>
      <c r="AJ42" s="90" t="n">
        <v>17.175547</v>
      </c>
      <c r="AK42" s="91" t="n">
        <f aca="false">SI(U42="Constante";PROMEDIO(AG42;AH42;AI42;AJ42);SI(U42="Suma";SUMA(AG42;AH42;AI42;AJ42);0))</f>
        <v>65.495547</v>
      </c>
      <c r="AL42" s="88" t="n">
        <v>19.48</v>
      </c>
      <c r="AM42" s="92" t="n">
        <f aca="false">15.1</f>
        <v>15.1</v>
      </c>
      <c r="AN42" s="93" t="n">
        <v>13.5</v>
      </c>
      <c r="AO42" s="45" t="n">
        <v>0</v>
      </c>
      <c r="AP42" s="40" t="n">
        <f aca="false">SI(U42="Constante";PROMEDIO(AL42;AM42;AN42;AO42);SI(U42="Suma";SUMA(AL42;AM42;AN42;AO42);0))</f>
        <v>48.08</v>
      </c>
      <c r="AQ42" s="46" t="n">
        <v>19904729352</v>
      </c>
      <c r="AR42" s="46" t="n">
        <v>24228862803</v>
      </c>
      <c r="AS42" s="46" t="n">
        <v>20380358352</v>
      </c>
      <c r="AT42" s="47" t="n">
        <f aca="false">18683889019+1868344720+3533987842.5</f>
        <v>24086221581.5</v>
      </c>
      <c r="AU42" s="46" t="n">
        <f aca="false">SUMA(AQ42:AT42)</f>
        <v>88600172088.5</v>
      </c>
      <c r="AV42" s="94" t="n">
        <v>4726547954</v>
      </c>
      <c r="AW42" s="46" t="n">
        <v>11536569384</v>
      </c>
      <c r="AX42" s="46" t="n">
        <v>10577770567</v>
      </c>
      <c r="AY42" s="47" t="n">
        <f aca="false">3736777804+641991496.27873</f>
        <v>4378769300.27873</v>
      </c>
      <c r="AZ42" s="48" t="n">
        <f aca="false">SUMA(AV42:AY42)</f>
        <v>31219657205.2787</v>
      </c>
      <c r="BA42" s="49"/>
      <c r="BB42" s="49"/>
      <c r="BC42" s="49" t="s">
        <v>242</v>
      </c>
      <c r="BD42" s="51" t="s">
        <v>243</v>
      </c>
      <c r="BF42" s="52" t="n">
        <v>950000000</v>
      </c>
    </row>
    <row collapsed="false" customFormat="true" customHeight="true" hidden="false" ht="37.5" outlineLevel="0" r="43" s="52">
      <c r="A43" s="34" t="n">
        <f aca="false">VLOOKUP(B43,['file:///Users/user/Downloads/10. MUSI BOSA CORTE 31 DE DICIEMBRE 2016_INSUMO CONTRALORIA.xls']Hoja2!$B$47:$C$66,2,0)</f>
        <v>7</v>
      </c>
      <c r="B43" s="35" t="s">
        <v>43</v>
      </c>
      <c r="C43" s="34" t="n">
        <f aca="false">VLOOKUP(E43,['file:///Users/user/Downloads/10. MUSI BOSA CORTE 31 DE DICIEMBRE 2016_INSUMO CONTRALORIA.xls']Hoja2!$B$8:$C$10,2,0)</f>
        <v>2</v>
      </c>
      <c r="D43" s="34" t="s">
        <v>360</v>
      </c>
      <c r="E43" s="36" t="s">
        <v>209</v>
      </c>
      <c r="F43" s="34" t="n">
        <f aca="false">VLOOKUP(G43,['file:///Users/user/Downloads/10. MUSI BOSA CORTE 31 DE DICIEMBRE 2016_INSUMO CONTRALORIA.xls']Hoja2!$B$12:$C$40,2,0)</f>
        <v>19</v>
      </c>
      <c r="G43" s="36" t="s">
        <v>234</v>
      </c>
      <c r="H43" s="37" t="n">
        <v>364</v>
      </c>
      <c r="I43" s="36" t="s">
        <v>244</v>
      </c>
      <c r="J43" s="38" t="n">
        <f aca="false">VLOOKUP(K43,['file:///Users/user/Downloads/10. MUSI BOSA CORTE 31 DE DICIEMBRE 2016_INSUMO CONTRALORIA.xls']Hoja1!$D$81:$G$158,2,0)</f>
        <v>50</v>
      </c>
      <c r="K43" s="39" t="s">
        <v>245</v>
      </c>
      <c r="L43" s="38" t="n">
        <v>843</v>
      </c>
      <c r="M43" s="39" t="s">
        <v>246</v>
      </c>
      <c r="N43" s="38" t="n">
        <v>2</v>
      </c>
      <c r="O43" s="39" t="s">
        <v>247</v>
      </c>
      <c r="P43" s="40" t="n">
        <v>8400</v>
      </c>
      <c r="Q43" s="36" t="s">
        <v>222</v>
      </c>
      <c r="R43" s="36" t="s">
        <v>248</v>
      </c>
      <c r="S43" s="39" t="str">
        <f aca="false">VLOOKUP(K43,['file:///Users/user/Downloads/10. MUSI BOSA CORTE 31 DE DICIEMBRE 2016_INSUMO CONTRALORIA.xls']Hoja1!$D$81:$G$158,4,0)</f>
        <v>8. MOVILIDAD</v>
      </c>
      <c r="T43" s="39" t="str">
        <f aca="false">VLOOKUP(K43,['file:///Users/user/Downloads/10. MUSI BOSA CORTE 31 DE DICIEMBRE 2016_INSUMO CONTRALORIA.xls']Hoja1!$D$81:$G$158,3,0)</f>
        <v>Espacio Publico</v>
      </c>
      <c r="U43" s="35" t="s">
        <v>52</v>
      </c>
      <c r="V43" s="41" t="n">
        <v>1</v>
      </c>
      <c r="W43" s="42" t="n">
        <f aca="false">AK43/P43</f>
        <v>1.1195630952381</v>
      </c>
      <c r="X43" s="42" t="n">
        <f aca="false">V43*W43</f>
        <v>1.1195630952381</v>
      </c>
      <c r="Y43" s="42" t="n">
        <f aca="false">AP43/P43</f>
        <v>0</v>
      </c>
      <c r="Z43" s="42" t="n">
        <f aca="false">Y43*V43</f>
        <v>0</v>
      </c>
      <c r="AA43" s="38" t="n">
        <v>0</v>
      </c>
      <c r="AB43" s="40" t="n">
        <v>2100</v>
      </c>
      <c r="AC43" s="40" t="n">
        <v>2100</v>
      </c>
      <c r="AD43" s="40" t="n">
        <v>2100</v>
      </c>
      <c r="AE43" s="40" t="n">
        <v>2100</v>
      </c>
      <c r="AF43" s="40" t="n">
        <f aca="false">SI(U43="Constante";PROMEDIO(AB43;AC43;AD43;AE43);SI(U43="Suma";SUMA(AB43;AC43;AD43;AE43);0))</f>
        <v>8400</v>
      </c>
      <c r="AG43" s="40" t="n">
        <v>0</v>
      </c>
      <c r="AH43" s="40" t="n">
        <v>0</v>
      </c>
      <c r="AI43" s="43" t="n">
        <v>2800</v>
      </c>
      <c r="AJ43" s="95" t="n">
        <v>6604.33</v>
      </c>
      <c r="AK43" s="40" t="n">
        <f aca="false">SI(U43="Constante";PROMEDIO(AG43;AH43;AI43;AJ43);SI(U43="Suma";SUMA(AG43;AH43;AI43;AJ43);0))</f>
        <v>9404.33</v>
      </c>
      <c r="AL43" s="40" t="n">
        <v>0</v>
      </c>
      <c r="AM43" s="43" t="n">
        <v>0</v>
      </c>
      <c r="AN43" s="45" t="n">
        <v>0</v>
      </c>
      <c r="AO43" s="45" t="n">
        <v>0</v>
      </c>
      <c r="AP43" s="40" t="n">
        <f aca="false">SI(U43="Constante";PROMEDIO(AL43;AM43;AN43;AO43);SI(U43="Suma";SUMA(AL43;AM43;AN43;AO43);0))</f>
        <v>0</v>
      </c>
      <c r="AQ43" s="46" t="n">
        <v>50000000</v>
      </c>
      <c r="AR43" s="46" t="n">
        <v>89177197</v>
      </c>
      <c r="AS43" s="46" t="n">
        <v>1500000000</v>
      </c>
      <c r="AT43" s="47" t="n">
        <v>2755865256</v>
      </c>
      <c r="AU43" s="46" t="n">
        <f aca="false">SUMA(AQ43:AT43)</f>
        <v>4395042453</v>
      </c>
      <c r="AV43" s="46" t="n">
        <v>0</v>
      </c>
      <c r="AW43" s="46" t="n">
        <v>0</v>
      </c>
      <c r="AX43" s="46" t="n">
        <v>0</v>
      </c>
      <c r="AY43" s="47" t="n">
        <v>500636147.630439</v>
      </c>
      <c r="AZ43" s="48" t="n">
        <f aca="false">SUMA(AV43:AY43)</f>
        <v>500636147.630439</v>
      </c>
      <c r="BA43" s="49"/>
      <c r="BB43" s="49"/>
      <c r="BC43" s="49" t="s">
        <v>242</v>
      </c>
      <c r="BD43" s="51" t="s">
        <v>249</v>
      </c>
      <c r="BF43" s="52" t="n">
        <v>200000000</v>
      </c>
    </row>
    <row collapsed="false" customFormat="true" customHeight="true" hidden="false" ht="37.5" outlineLevel="0" r="44" s="52">
      <c r="A44" s="34" t="n">
        <f aca="false">VLOOKUP(B44,['file:///Users/user/Downloads/10. MUSI BOSA CORTE 31 DE DICIEMBRE 2016_INSUMO CONTRALORIA.xls']Hoja2!$B$47:$C$66,2,0)</f>
        <v>7</v>
      </c>
      <c r="B44" s="35" t="s">
        <v>43</v>
      </c>
      <c r="C44" s="34" t="n">
        <f aca="false">VLOOKUP(E44,['file:///Users/user/Downloads/10. MUSI BOSA CORTE 31 DE DICIEMBRE 2016_INSUMO CONTRALORIA.xls']Hoja2!$B$8:$C$10,2,0)</f>
        <v>2</v>
      </c>
      <c r="D44" s="34" t="s">
        <v>360</v>
      </c>
      <c r="E44" s="36" t="s">
        <v>209</v>
      </c>
      <c r="F44" s="34" t="n">
        <f aca="false">VLOOKUP(G44,['file:///Users/user/Downloads/10. MUSI BOSA CORTE 31 DE DICIEMBRE 2016_INSUMO CONTRALORIA.xls']Hoja2!$B$12:$C$40,2,0)</f>
        <v>20</v>
      </c>
      <c r="G44" s="36" t="s">
        <v>250</v>
      </c>
      <c r="H44" s="37" t="n">
        <v>365</v>
      </c>
      <c r="I44" s="36" t="s">
        <v>251</v>
      </c>
      <c r="J44" s="38" t="n">
        <f aca="false">VLOOKUP(K44,['file:///Users/user/Downloads/10. MUSI BOSA CORTE 31 DE DICIEMBRE 2016_INSUMO CONTRALORIA.xls']Hoja1!$D$81:$G$158,2,0)</f>
        <v>55</v>
      </c>
      <c r="K44" s="39" t="s">
        <v>252</v>
      </c>
      <c r="L44" s="38" t="n">
        <v>844</v>
      </c>
      <c r="M44" s="39" t="s">
        <v>253</v>
      </c>
      <c r="N44" s="38" t="n">
        <v>2</v>
      </c>
      <c r="O44" s="39" t="s">
        <v>254</v>
      </c>
      <c r="P44" s="40" t="n">
        <v>15000</v>
      </c>
      <c r="Q44" s="36" t="s">
        <v>255</v>
      </c>
      <c r="R44" s="36" t="s">
        <v>256</v>
      </c>
      <c r="S44" s="39" t="str">
        <f aca="false">VLOOKUP(K44,['file:///Users/user/Downloads/10. MUSI BOSA CORTE 31 DE DICIEMBRE 2016_INSUMO CONTRALORIA.xls']Hoja1!$D$81:$G$158,4,0)</f>
        <v>5. GOBIERNO </v>
      </c>
      <c r="T44" s="39" t="str">
        <f aca="false">VLOOKUP(K44,['file:///Users/user/Downloads/10. MUSI BOSA CORTE 31 DE DICIEMBRE 2016_INSUMO CONTRALORIA.xls']Hoja1!$D$81:$G$158,3,0)</f>
        <v>Gestión para la prevención y mitigación del riesgo</v>
      </c>
      <c r="U44" s="35" t="s">
        <v>85</v>
      </c>
      <c r="V44" s="41" t="n">
        <v>1</v>
      </c>
      <c r="W44" s="42" t="n">
        <f aca="false">AK44/P44</f>
        <v>1</v>
      </c>
      <c r="X44" s="42" t="n">
        <f aca="false">V44*W44</f>
        <v>1</v>
      </c>
      <c r="Y44" s="42" t="n">
        <f aca="false">AP44/P44</f>
        <v>0.75</v>
      </c>
      <c r="Z44" s="42" t="n">
        <f aca="false">Y44*V44</f>
        <v>0.75</v>
      </c>
      <c r="AA44" s="38" t="n">
        <v>0</v>
      </c>
      <c r="AB44" s="40" t="n">
        <v>15000</v>
      </c>
      <c r="AC44" s="40" t="n">
        <v>15000</v>
      </c>
      <c r="AD44" s="40" t="n">
        <v>15000</v>
      </c>
      <c r="AE44" s="40" t="n">
        <v>15000</v>
      </c>
      <c r="AF44" s="40" t="n">
        <f aca="false">SI(U44="Constante";PROMEDIO(AB44;AC44;AD44;AE44);SI(U44="Suma";SUMA(AB44;AC44;AD44;AE44);0))</f>
        <v>15000</v>
      </c>
      <c r="AG44" s="40" t="n">
        <v>15000</v>
      </c>
      <c r="AH44" s="40" t="n">
        <v>15000</v>
      </c>
      <c r="AI44" s="43" t="n">
        <v>15000</v>
      </c>
      <c r="AJ44" s="44" t="n">
        <v>15000</v>
      </c>
      <c r="AK44" s="40" t="n">
        <f aca="false">SI(U44="Constante";PROMEDIO(AG44;AH44;AI44;AJ44);SI(U44="Suma";SUMA(AG44;AH44;AI44;AJ44);0))</f>
        <v>15000</v>
      </c>
      <c r="AL44" s="40" t="n">
        <v>15000</v>
      </c>
      <c r="AM44" s="43" t="n">
        <f aca="false">14000+1000</f>
        <v>15000</v>
      </c>
      <c r="AN44" s="45" t="n">
        <f aca="false">2000+13000</f>
        <v>15000</v>
      </c>
      <c r="AO44" s="45" t="n">
        <v>0</v>
      </c>
      <c r="AP44" s="40" t="n">
        <f aca="false">SI(U44="Constante";PROMEDIO(AL44;AM44;AN44;AO44);SI(U44="Suma";SUMA(AL44;AM44;AN44;AO44);0))</f>
        <v>11250</v>
      </c>
      <c r="AQ44" s="46" t="n">
        <v>400000000</v>
      </c>
      <c r="AR44" s="46" t="n">
        <v>527948000</v>
      </c>
      <c r="AS44" s="46" t="n">
        <v>346777635</v>
      </c>
      <c r="AT44" s="47" t="n">
        <v>525249598.256959</v>
      </c>
      <c r="AU44" s="46" t="n">
        <f aca="false">SUMA(AQ44:AT44)</f>
        <v>1799975233.25696</v>
      </c>
      <c r="AV44" s="46" t="n">
        <v>0</v>
      </c>
      <c r="AW44" s="46" t="n">
        <v>0</v>
      </c>
      <c r="AX44" s="46" t="n">
        <v>6171429</v>
      </c>
      <c r="AY44" s="47" t="n">
        <v>0</v>
      </c>
      <c r="AZ44" s="48" t="n">
        <f aca="false">SUMA(AV44:AY44)</f>
        <v>6171429</v>
      </c>
      <c r="BA44" s="49"/>
      <c r="BB44" s="49"/>
      <c r="BC44" s="49" t="s">
        <v>257</v>
      </c>
      <c r="BD44" s="51"/>
      <c r="BF44" s="52" t="n">
        <v>347000000</v>
      </c>
    </row>
    <row collapsed="false" customFormat="true" customHeight="true" hidden="false" ht="37.5" outlineLevel="0" r="45" s="52">
      <c r="A45" s="34" t="n">
        <f aca="false">VLOOKUP(B45,['file:///Users/user/Downloads/10. MUSI BOSA CORTE 31 DE DICIEMBRE 2016_INSUMO CONTRALORIA.xls']Hoja2!$B$47:$C$66,2,0)</f>
        <v>7</v>
      </c>
      <c r="B45" s="35" t="s">
        <v>43</v>
      </c>
      <c r="C45" s="34" t="n">
        <f aca="false">VLOOKUP(E45,['file:///Users/user/Downloads/10. MUSI BOSA CORTE 31 DE DICIEMBRE 2016_INSUMO CONTRALORIA.xls']Hoja2!$B$8:$C$10,2,0)</f>
        <v>2</v>
      </c>
      <c r="D45" s="34" t="s">
        <v>360</v>
      </c>
      <c r="E45" s="36" t="s">
        <v>209</v>
      </c>
      <c r="F45" s="34" t="n">
        <f aca="false">VLOOKUP(G45,['file:///Users/user/Downloads/10. MUSI BOSA CORTE 31 DE DICIEMBRE 2016_INSUMO CONTRALORIA.xls']Hoja2!$B$12:$C$40,2,0)</f>
        <v>20</v>
      </c>
      <c r="G45" s="36" t="s">
        <v>250</v>
      </c>
      <c r="H45" s="37" t="n">
        <v>366</v>
      </c>
      <c r="I45" s="36" t="s">
        <v>258</v>
      </c>
      <c r="J45" s="38" t="n">
        <f aca="false">VLOOKUP(K45,['file:///Users/user/Downloads/10. MUSI BOSA CORTE 31 DE DICIEMBRE 2016_INSUMO CONTRALORIA.xls']Hoja1!$D$81:$G$158,2,0)</f>
        <v>56</v>
      </c>
      <c r="K45" s="39" t="s">
        <v>259</v>
      </c>
      <c r="L45" s="38" t="n">
        <v>844</v>
      </c>
      <c r="M45" s="39" t="s">
        <v>253</v>
      </c>
      <c r="N45" s="38" t="n">
        <v>1</v>
      </c>
      <c r="O45" s="39" t="s">
        <v>260</v>
      </c>
      <c r="P45" s="40" t="n">
        <v>1</v>
      </c>
      <c r="Q45" s="36" t="s">
        <v>261</v>
      </c>
      <c r="R45" s="36" t="s">
        <v>262</v>
      </c>
      <c r="S45" s="39" t="str">
        <f aca="false">VLOOKUP(K45,['file:///Users/user/Downloads/10. MUSI BOSA CORTE 31 DE DICIEMBRE 2016_INSUMO CONTRALORIA.xls']Hoja1!$D$81:$G$158,4,0)</f>
        <v>5. GOBIERNO </v>
      </c>
      <c r="T45" s="39" t="str">
        <f aca="false">VLOOKUP(K45,['file:///Users/user/Downloads/10. MUSI BOSA CORTE 31 DE DICIEMBRE 2016_INSUMO CONTRALORIA.xls']Hoja1!$D$81:$G$158,3,0)</f>
        <v>Gestión para la prevención y mitigación del riesgo</v>
      </c>
      <c r="U45" s="35" t="s">
        <v>85</v>
      </c>
      <c r="V45" s="41" t="n">
        <v>1</v>
      </c>
      <c r="W45" s="42" t="n">
        <f aca="false">AK45/P45</f>
        <v>1</v>
      </c>
      <c r="X45" s="42" t="n">
        <f aca="false">V45*W45</f>
        <v>1</v>
      </c>
      <c r="Y45" s="42" t="n">
        <f aca="false">AP45/P45</f>
        <v>0.75</v>
      </c>
      <c r="Z45" s="42" t="n">
        <f aca="false">Y45*V45</f>
        <v>0.75</v>
      </c>
      <c r="AA45" s="38" t="n">
        <v>1</v>
      </c>
      <c r="AB45" s="40" t="n">
        <v>1</v>
      </c>
      <c r="AC45" s="40" t="n">
        <v>1</v>
      </c>
      <c r="AD45" s="40" t="n">
        <v>1</v>
      </c>
      <c r="AE45" s="40" t="n">
        <v>1</v>
      </c>
      <c r="AF45" s="40" t="n">
        <f aca="false">SI(U45="Constante";PROMEDIO(AB45;AC45;AD45;AE45);SI(U45="Suma";SUMA(AB45;AC45;AD45;AE45);0))</f>
        <v>1</v>
      </c>
      <c r="AG45" s="40" t="n">
        <v>1</v>
      </c>
      <c r="AH45" s="40" t="n">
        <v>1</v>
      </c>
      <c r="AI45" s="43" t="n">
        <v>1</v>
      </c>
      <c r="AJ45" s="44" t="n">
        <v>1</v>
      </c>
      <c r="AK45" s="40" t="n">
        <f aca="false">SI(U45="Constante";PROMEDIO(AG45;AH45;AI45;AJ45);SI(U45="Suma";SUMA(AG45;AH45;AI45;AJ45);0))</f>
        <v>1</v>
      </c>
      <c r="AL45" s="40" t="n">
        <v>1</v>
      </c>
      <c r="AM45" s="43" t="n">
        <v>1</v>
      </c>
      <c r="AN45" s="45" t="n">
        <v>1</v>
      </c>
      <c r="AO45" s="45" t="n">
        <v>0</v>
      </c>
      <c r="AP45" s="88" t="n">
        <f aca="false">SI(U45="Constante";PROMEDIO(AL45;AM45;AN45;AO45);SI(U45="Suma";SUMA(AL45;AM45;AN45;AO45);0))</f>
        <v>0.75</v>
      </c>
      <c r="AQ45" s="46" t="n">
        <v>299996849</v>
      </c>
      <c r="AR45" s="46" t="n">
        <v>299898200</v>
      </c>
      <c r="AS45" s="46" t="n">
        <v>199981000</v>
      </c>
      <c r="AT45" s="47" t="n">
        <v>98380108.6569624</v>
      </c>
      <c r="AU45" s="46" t="n">
        <f aca="false">SUMA(AQ45:AT45)</f>
        <v>898256157.656962</v>
      </c>
      <c r="AV45" s="46" t="n">
        <v>299996849</v>
      </c>
      <c r="AW45" s="46" t="n">
        <v>0</v>
      </c>
      <c r="AX45" s="46" t="n">
        <v>0</v>
      </c>
      <c r="AY45" s="47" t="n">
        <v>0</v>
      </c>
      <c r="AZ45" s="48" t="n">
        <f aca="false">SUMA(AV45:AY45)</f>
        <v>299996849</v>
      </c>
      <c r="BA45" s="49"/>
      <c r="BB45" s="49"/>
      <c r="BC45" s="49" t="s">
        <v>257</v>
      </c>
      <c r="BD45" s="51"/>
      <c r="BF45" s="52" t="n">
        <f aca="false">+BF42-BF43-BF44</f>
        <v>403000000</v>
      </c>
    </row>
    <row collapsed="false" customFormat="true" customHeight="true" hidden="false" ht="37.5" outlineLevel="0" r="46" s="52">
      <c r="A46" s="34" t="n">
        <f aca="false">VLOOKUP(B46,['file:///Users/user/Downloads/10. MUSI BOSA CORTE 31 DE DICIEMBRE 2016_INSUMO CONTRALORIA.xls']Hoja2!$B$47:$C$66,2,0)</f>
        <v>7</v>
      </c>
      <c r="B46" s="35" t="s">
        <v>43</v>
      </c>
      <c r="C46" s="34" t="n">
        <f aca="false">VLOOKUP(E46,['file:///Users/user/Downloads/10. MUSI BOSA CORTE 31 DE DICIEMBRE 2016_INSUMO CONTRALORIA.xls']Hoja2!$B$8:$C$10,2,0)</f>
        <v>2</v>
      </c>
      <c r="D46" s="34" t="s">
        <v>360</v>
      </c>
      <c r="E46" s="36" t="s">
        <v>209</v>
      </c>
      <c r="F46" s="34" t="n">
        <f aca="false">VLOOKUP(G46,['file:///Users/user/Downloads/10. MUSI BOSA CORTE 31 DE DICIEMBRE 2016_INSUMO CONTRALORIA.xls']Hoja2!$B$12:$C$40,2,0)</f>
        <v>20</v>
      </c>
      <c r="G46" s="36" t="s">
        <v>250</v>
      </c>
      <c r="H46" s="37" t="n">
        <v>367</v>
      </c>
      <c r="I46" s="36" t="s">
        <v>263</v>
      </c>
      <c r="J46" s="38" t="n">
        <f aca="false">VLOOKUP(K46,['file:///Users/user/Downloads/10. MUSI BOSA CORTE 31 DE DICIEMBRE 2016_INSUMO CONTRALORIA.xls']Hoja1!$D$81:$G$158,2,0)</f>
        <v>54</v>
      </c>
      <c r="K46" s="39" t="s">
        <v>264</v>
      </c>
      <c r="L46" s="38" t="n">
        <v>844</v>
      </c>
      <c r="M46" s="39" t="s">
        <v>253</v>
      </c>
      <c r="N46" s="38" t="n">
        <v>3</v>
      </c>
      <c r="O46" s="39" t="s">
        <v>143</v>
      </c>
      <c r="P46" s="40" t="n">
        <v>100</v>
      </c>
      <c r="Q46" s="36" t="s">
        <v>265</v>
      </c>
      <c r="R46" s="36" t="s">
        <v>266</v>
      </c>
      <c r="S46" s="39" t="str">
        <f aca="false">VLOOKUP(K46,['file:///Users/user/Downloads/10. MUSI BOSA CORTE 31 DE DICIEMBRE 2016_INSUMO CONTRALORIA.xls']Hoja1!$D$81:$G$158,4,0)</f>
        <v>5. GOBIERNO </v>
      </c>
      <c r="T46" s="39" t="str">
        <f aca="false">VLOOKUP(K46,['file:///Users/user/Downloads/10. MUSI BOSA CORTE 31 DE DICIEMBRE 2016_INSUMO CONTRALORIA.xls']Hoja1!$D$81:$G$158,3,0)</f>
        <v>Gestión para la prevención y mitigación del riesgo</v>
      </c>
      <c r="U46" s="35" t="s">
        <v>85</v>
      </c>
      <c r="V46" s="41" t="n">
        <v>1</v>
      </c>
      <c r="W46" s="42" t="n">
        <f aca="false">AK46/P46</f>
        <v>1</v>
      </c>
      <c r="X46" s="42" t="n">
        <f aca="false">V46*W46</f>
        <v>1</v>
      </c>
      <c r="Y46" s="42" t="n">
        <f aca="false">AP46/P46</f>
        <v>0.75</v>
      </c>
      <c r="Z46" s="42" t="n">
        <f aca="false">Y46*V46</f>
        <v>0.75</v>
      </c>
      <c r="AA46" s="38" t="n">
        <v>0</v>
      </c>
      <c r="AB46" s="40" t="n">
        <v>100</v>
      </c>
      <c r="AC46" s="40" t="n">
        <v>100</v>
      </c>
      <c r="AD46" s="40" t="n">
        <v>100</v>
      </c>
      <c r="AE46" s="40" t="n">
        <v>100</v>
      </c>
      <c r="AF46" s="40" t="n">
        <f aca="false">SI(U46="Constante";PROMEDIO(AB46;AC46;AD46;AE46);SI(U46="Suma";SUMA(AB46;AC46;AD46;AE46);0))</f>
        <v>100</v>
      </c>
      <c r="AG46" s="40" t="n">
        <v>100</v>
      </c>
      <c r="AH46" s="40" t="n">
        <v>100</v>
      </c>
      <c r="AI46" s="43" t="n">
        <v>100</v>
      </c>
      <c r="AJ46" s="44" t="n">
        <v>100</v>
      </c>
      <c r="AK46" s="40" t="n">
        <f aca="false">SI(U46="Constante";PROMEDIO(AG46;AH46;AI46;AJ46);SI(U46="Suma";SUMA(AG46;AH46;AI46;AJ46);0))</f>
        <v>100</v>
      </c>
      <c r="AL46" s="40" t="n">
        <v>100</v>
      </c>
      <c r="AM46" s="43" t="n">
        <v>100</v>
      </c>
      <c r="AN46" s="45" t="n">
        <v>100</v>
      </c>
      <c r="AO46" s="45" t="n">
        <v>0</v>
      </c>
      <c r="AP46" s="40" t="n">
        <f aca="false">SI(U46="Constante";PROMEDIO(AL46;AM46;AN46;AO46);SI(U46="Suma";SUMA(AL46;AM46;AN46;AO46);0))</f>
        <v>75</v>
      </c>
      <c r="AQ46" s="46" t="n">
        <v>200000000</v>
      </c>
      <c r="AR46" s="46" t="n">
        <v>672153800</v>
      </c>
      <c r="AS46" s="46" t="n">
        <v>403241365</v>
      </c>
      <c r="AT46" s="47" t="n">
        <v>67588261.0860789</v>
      </c>
      <c r="AU46" s="46" t="n">
        <f aca="false">SUMA(AQ46:AT46)</f>
        <v>1342983426.08608</v>
      </c>
      <c r="AV46" s="46" t="n">
        <v>0</v>
      </c>
      <c r="AW46" s="46" t="n">
        <v>0</v>
      </c>
      <c r="AX46" s="46" t="n">
        <v>0</v>
      </c>
      <c r="AY46" s="47" t="n">
        <v>0</v>
      </c>
      <c r="AZ46" s="48" t="n">
        <f aca="false">SUMA(AV46:AY46)</f>
        <v>0</v>
      </c>
      <c r="BA46" s="49"/>
      <c r="BB46" s="49"/>
      <c r="BC46" s="49" t="s">
        <v>217</v>
      </c>
      <c r="BD46" s="51" t="s">
        <v>267</v>
      </c>
    </row>
    <row collapsed="false" customFormat="true" customHeight="true" hidden="false" ht="37.5" outlineLevel="0" r="47" s="52">
      <c r="A47" s="34" t="n">
        <f aca="false">VLOOKUP(B47,['file:///Users/user/Downloads/10. MUSI BOSA CORTE 31 DE DICIEMBRE 2016_INSUMO CONTRALORIA.xls']Hoja2!$B$47:$C$66,2,0)</f>
        <v>7</v>
      </c>
      <c r="B47" s="35" t="s">
        <v>43</v>
      </c>
      <c r="C47" s="34" t="n">
        <f aca="false">VLOOKUP(E47,['file:///Users/user/Downloads/10. MUSI BOSA CORTE 31 DE DICIEMBRE 2016_INSUMO CONTRALORIA.xls']Hoja2!$B$8:$C$10,2,0)</f>
        <v>2</v>
      </c>
      <c r="D47" s="34" t="s">
        <v>360</v>
      </c>
      <c r="E47" s="36" t="s">
        <v>209</v>
      </c>
      <c r="F47" s="34" t="n">
        <f aca="false">VLOOKUP(G47,['file:///Users/user/Downloads/10. MUSI BOSA CORTE 31 DE DICIEMBRE 2016_INSUMO CONTRALORIA.xls']Hoja2!$B$12:$C$40,2,0)</f>
        <v>21</v>
      </c>
      <c r="G47" s="36" t="s">
        <v>268</v>
      </c>
      <c r="H47" s="37" t="n">
        <v>368</v>
      </c>
      <c r="I47" s="36" t="s">
        <v>269</v>
      </c>
      <c r="J47" s="38" t="n">
        <f aca="false">VLOOKUP(K47,['file:///Users/user/Downloads/10. MUSI BOSA CORTE 31 DE DICIEMBRE 2016_INSUMO CONTRALORIA.xls']Hoja1!$D$81:$G$158,2,0)</f>
        <v>57</v>
      </c>
      <c r="K47" s="39" t="s">
        <v>270</v>
      </c>
      <c r="L47" s="38" t="n">
        <v>845</v>
      </c>
      <c r="M47" s="39" t="s">
        <v>271</v>
      </c>
      <c r="N47" s="38" t="n">
        <v>1</v>
      </c>
      <c r="O47" s="39" t="s">
        <v>56</v>
      </c>
      <c r="P47" s="40" t="n">
        <v>400</v>
      </c>
      <c r="Q47" s="36" t="s">
        <v>63</v>
      </c>
      <c r="R47" s="36" t="s">
        <v>272</v>
      </c>
      <c r="S47" s="39" t="str">
        <f aca="false">VLOOKUP(K47,['file:///Users/user/Downloads/10. MUSI BOSA CORTE 31 DE DICIEMBRE 2016_INSUMO CONTRALORIA.xls']Hoja1!$D$81:$G$158,4,0)</f>
        <v>1. AMBIENTE</v>
      </c>
      <c r="T47" s="39" t="str">
        <f aca="false">VLOOKUP(K47,['file:///Users/user/Downloads/10. MUSI BOSA CORTE 31 DE DICIEMBRE 2016_INSUMO CONTRALORIA.xls']Hoja1!$D$81:$G$158,3,0)</f>
        <v>Manejo integral de residuos sólidos </v>
      </c>
      <c r="U47" s="35" t="s">
        <v>52</v>
      </c>
      <c r="V47" s="41" t="n">
        <v>1</v>
      </c>
      <c r="W47" s="42" t="n">
        <f aca="false">AK47/P47</f>
        <v>0.5</v>
      </c>
      <c r="X47" s="42" t="n">
        <f aca="false">V47*W47</f>
        <v>0.5</v>
      </c>
      <c r="Y47" s="42" t="n">
        <f aca="false">AP47/P47</f>
        <v>0.5</v>
      </c>
      <c r="Z47" s="42" t="n">
        <f aca="false">Y47*V47</f>
        <v>0.5</v>
      </c>
      <c r="AA47" s="38" t="n">
        <v>53</v>
      </c>
      <c r="AB47" s="40" t="n">
        <v>100</v>
      </c>
      <c r="AC47" s="40" t="n">
        <v>100</v>
      </c>
      <c r="AD47" s="40" t="n">
        <v>100</v>
      </c>
      <c r="AE47" s="40" t="n">
        <v>100</v>
      </c>
      <c r="AF47" s="40" t="n">
        <f aca="false">SI(U47="Constante";PROMEDIO(AB47;AC47;AD47;AE47);SI(U47="Suma";SUMA(AB47;AC47;AD47;AE47);0))</f>
        <v>400</v>
      </c>
      <c r="AG47" s="40" t="n">
        <v>100</v>
      </c>
      <c r="AH47" s="40" t="n">
        <v>100</v>
      </c>
      <c r="AI47" s="43" t="n">
        <v>0</v>
      </c>
      <c r="AJ47" s="44" t="n">
        <v>0</v>
      </c>
      <c r="AK47" s="40" t="n">
        <f aca="false">SI(U47="Constante";PROMEDIO(AG47;AH47;AI47;AJ47);SI(U47="Suma";SUMA(AG47;AH47;AI47;AJ47);0))</f>
        <v>200</v>
      </c>
      <c r="AL47" s="40" t="n">
        <v>100</v>
      </c>
      <c r="AM47" s="43" t="n">
        <v>100</v>
      </c>
      <c r="AN47" s="45" t="n">
        <v>0</v>
      </c>
      <c r="AO47" s="45" t="n">
        <v>0</v>
      </c>
      <c r="AP47" s="40" t="n">
        <f aca="false">SI(U47="Constante";PROMEDIO(AL47;AM47;AN47;AO47);SI(U47="Suma";SUMA(AL47;AM47;AN47;AO47);0))</f>
        <v>200</v>
      </c>
      <c r="AQ47" s="46" t="n">
        <f aca="false">40000000+10000000</f>
        <v>50000000</v>
      </c>
      <c r="AR47" s="46" t="n">
        <v>86042000</v>
      </c>
      <c r="AS47" s="46" t="n">
        <v>0</v>
      </c>
      <c r="AT47" s="47" t="n">
        <v>0</v>
      </c>
      <c r="AU47" s="46" t="n">
        <f aca="false">SUMA(AQ47:AT47)</f>
        <v>136042000</v>
      </c>
      <c r="AV47" s="46" t="n">
        <v>19800000</v>
      </c>
      <c r="AW47" s="46" t="n">
        <v>3800000</v>
      </c>
      <c r="AX47" s="46" t="n">
        <v>0</v>
      </c>
      <c r="AY47" s="47" t="n">
        <v>0</v>
      </c>
      <c r="AZ47" s="48" t="n">
        <f aca="false">SUMA(AV47:AY47)</f>
        <v>23600000</v>
      </c>
      <c r="BA47" s="49"/>
      <c r="BB47" s="49"/>
      <c r="BC47" s="49" t="s">
        <v>65</v>
      </c>
      <c r="BD47" s="51" t="s">
        <v>273</v>
      </c>
    </row>
    <row collapsed="false" customFormat="true" customHeight="true" hidden="false" ht="37.5" outlineLevel="0" r="48" s="52">
      <c r="A48" s="34" t="n">
        <f aca="false">VLOOKUP(B48,['file:///Users/user/Downloads/10. MUSI BOSA CORTE 31 DE DICIEMBRE 2016_INSUMO CONTRALORIA.xls']Hoja2!$B$47:$C$66,2,0)</f>
        <v>7</v>
      </c>
      <c r="B48" s="35" t="s">
        <v>43</v>
      </c>
      <c r="C48" s="34" t="n">
        <f aca="false">VLOOKUP(E48,['file:///Users/user/Downloads/10. MUSI BOSA CORTE 31 DE DICIEMBRE 2016_INSUMO CONTRALORIA.xls']Hoja2!$B$8:$C$10,2,0)</f>
        <v>2</v>
      </c>
      <c r="D48" s="34" t="s">
        <v>360</v>
      </c>
      <c r="E48" s="36" t="s">
        <v>209</v>
      </c>
      <c r="F48" s="34" t="n">
        <f aca="false">VLOOKUP(G48,['file:///Users/user/Downloads/10. MUSI BOSA CORTE 31 DE DICIEMBRE 2016_INSUMO CONTRALORIA.xls']Hoja2!$B$12:$C$40,2,0)</f>
        <v>21</v>
      </c>
      <c r="G48" s="36" t="s">
        <v>268</v>
      </c>
      <c r="H48" s="37" t="n">
        <v>369</v>
      </c>
      <c r="I48" s="36" t="s">
        <v>274</v>
      </c>
      <c r="J48" s="38" t="n">
        <f aca="false">VLOOKUP(K48,['file:///Users/user/Downloads/10. MUSI BOSA CORTE 31 DE DICIEMBRE 2016_INSUMO CONTRALORIA.xls']Hoja1!$D$81:$G$158,2,0)</f>
        <v>58</v>
      </c>
      <c r="K48" s="39" t="s">
        <v>275</v>
      </c>
      <c r="L48" s="38" t="n">
        <v>845</v>
      </c>
      <c r="M48" s="39" t="s">
        <v>271</v>
      </c>
      <c r="N48" s="38" t="n">
        <v>2</v>
      </c>
      <c r="O48" s="39" t="s">
        <v>115</v>
      </c>
      <c r="P48" s="40" t="n">
        <v>4</v>
      </c>
      <c r="Q48" s="36" t="s">
        <v>116</v>
      </c>
      <c r="R48" s="36" t="s">
        <v>276</v>
      </c>
      <c r="S48" s="39" t="str">
        <f aca="false">VLOOKUP(K48,['file:///Users/user/Downloads/10. MUSI BOSA CORTE 31 DE DICIEMBRE 2016_INSUMO CONTRALORIA.xls']Hoja1!$D$81:$G$158,4,0)</f>
        <v>1. AMBIENTE</v>
      </c>
      <c r="T48" s="39" t="str">
        <f aca="false">VLOOKUP(K48,['file:///Users/user/Downloads/10. MUSI BOSA CORTE 31 DE DICIEMBRE 2016_INSUMO CONTRALORIA.xls']Hoja1!$D$81:$G$158,3,0)</f>
        <v>Manejo integral de residuos sólidos </v>
      </c>
      <c r="U48" s="35" t="s">
        <v>52</v>
      </c>
      <c r="V48" s="41" t="n">
        <v>1</v>
      </c>
      <c r="W48" s="42" t="n">
        <f aca="false">AK48/P48</f>
        <v>7</v>
      </c>
      <c r="X48" s="42" t="n">
        <f aca="false">V48*W48</f>
        <v>7</v>
      </c>
      <c r="Y48" s="42" t="n">
        <f aca="false">AP48/P48</f>
        <v>3.75</v>
      </c>
      <c r="Z48" s="42" t="n">
        <f aca="false">Y48*V48</f>
        <v>3.75</v>
      </c>
      <c r="AA48" s="38" t="n">
        <v>4</v>
      </c>
      <c r="AB48" s="40" t="n">
        <v>1</v>
      </c>
      <c r="AC48" s="40" t="n">
        <v>1</v>
      </c>
      <c r="AD48" s="40" t="n">
        <v>1</v>
      </c>
      <c r="AE48" s="40" t="n">
        <v>1</v>
      </c>
      <c r="AF48" s="40" t="n">
        <f aca="false">SI(U48="Constante";PROMEDIO(AB48;AC48;AD48;AE48);SI(U48="Suma";SUMA(AB48;AC48;AD48;AE48);0))</f>
        <v>4</v>
      </c>
      <c r="AG48" s="40" t="n">
        <v>1</v>
      </c>
      <c r="AH48" s="40" t="n">
        <f aca="false">13+1</f>
        <v>14</v>
      </c>
      <c r="AI48" s="43" t="n">
        <v>0</v>
      </c>
      <c r="AJ48" s="44" t="n">
        <v>13</v>
      </c>
      <c r="AK48" s="40" t="n">
        <f aca="false">SI(U48="Constante";PROMEDIO(AG48;AH48;AI48;AJ48);SI(U48="Suma";SUMA(AG48;AH48;AI48;AJ48);0))</f>
        <v>28</v>
      </c>
      <c r="AL48" s="40" t="n">
        <v>1</v>
      </c>
      <c r="AM48" s="43" t="n">
        <f aca="false">13+1</f>
        <v>14</v>
      </c>
      <c r="AN48" s="45" t="n">
        <v>0</v>
      </c>
      <c r="AO48" s="45" t="n">
        <v>0</v>
      </c>
      <c r="AP48" s="40" t="n">
        <f aca="false">SI(U48="Constante";PROMEDIO(AL48;AM48;AN48;AO48);SI(U48="Suma";SUMA(AL48;AM48;AN48;AO48);0))</f>
        <v>15</v>
      </c>
      <c r="AQ48" s="46" t="n">
        <v>200000000</v>
      </c>
      <c r="AR48" s="46" t="n">
        <v>471618011</v>
      </c>
      <c r="AS48" s="46" t="n">
        <v>0</v>
      </c>
      <c r="AT48" s="47" t="n">
        <f aca="false">190000000+11000000</f>
        <v>201000000</v>
      </c>
      <c r="AU48" s="46" t="n">
        <f aca="false">SUMA(AQ48:AT48)</f>
        <v>872618011</v>
      </c>
      <c r="AV48" s="46" t="n">
        <v>80000000</v>
      </c>
      <c r="AW48" s="46" t="n">
        <v>110253350</v>
      </c>
      <c r="AX48" s="46" t="n">
        <v>0</v>
      </c>
      <c r="AY48" s="47" t="n">
        <v>0</v>
      </c>
      <c r="AZ48" s="48" t="n">
        <f aca="false">SUMA(AV48:AY48)</f>
        <v>190253350</v>
      </c>
      <c r="BA48" s="49"/>
      <c r="BB48" s="49"/>
      <c r="BC48" s="49" t="s">
        <v>65</v>
      </c>
      <c r="BD48" s="51" t="s">
        <v>277</v>
      </c>
    </row>
    <row collapsed="false" customFormat="true" customHeight="true" hidden="false" ht="37.5" outlineLevel="0" r="49" s="52">
      <c r="A49" s="34" t="n">
        <f aca="false">VLOOKUP(B49,['file:///Users/user/Downloads/10. MUSI BOSA CORTE 31 DE DICIEMBRE 2016_INSUMO CONTRALORIA.xls']Hoja2!$B$47:$C$66,2,0)</f>
        <v>7</v>
      </c>
      <c r="B49" s="35" t="s">
        <v>43</v>
      </c>
      <c r="C49" s="34" t="n">
        <f aca="false">VLOOKUP(E49,['file:///Users/user/Downloads/10. MUSI BOSA CORTE 31 DE DICIEMBRE 2016_INSUMO CONTRALORIA.xls']Hoja2!$B$8:$C$10,2,0)</f>
        <v>2</v>
      </c>
      <c r="D49" s="34" t="s">
        <v>360</v>
      </c>
      <c r="E49" s="36" t="s">
        <v>209</v>
      </c>
      <c r="F49" s="34" t="n">
        <f aca="false">VLOOKUP(G49,['file:///Users/user/Downloads/10. MUSI BOSA CORTE 31 DE DICIEMBRE 2016_INSUMO CONTRALORIA.xls']Hoja2!$B$12:$C$40,2,0)</f>
        <v>21</v>
      </c>
      <c r="G49" s="36" t="s">
        <v>268</v>
      </c>
      <c r="H49" s="37" t="n">
        <v>370</v>
      </c>
      <c r="I49" s="36" t="s">
        <v>278</v>
      </c>
      <c r="J49" s="38" t="n">
        <f aca="false">VLOOKUP(K49,['file:///Users/user/Downloads/10. MUSI BOSA CORTE 31 DE DICIEMBRE 2016_INSUMO CONTRALORIA.xls']Hoja1!$D$81:$G$158,2,0)</f>
        <v>57</v>
      </c>
      <c r="K49" s="39" t="s">
        <v>270</v>
      </c>
      <c r="L49" s="38" t="n">
        <v>845</v>
      </c>
      <c r="M49" s="39" t="s">
        <v>271</v>
      </c>
      <c r="N49" s="38" t="n">
        <v>3</v>
      </c>
      <c r="O49" s="39" t="s">
        <v>56</v>
      </c>
      <c r="P49" s="40" t="n">
        <v>4000</v>
      </c>
      <c r="Q49" s="36" t="s">
        <v>63</v>
      </c>
      <c r="R49" s="36" t="s">
        <v>279</v>
      </c>
      <c r="S49" s="39" t="str">
        <f aca="false">VLOOKUP(K49,['file:///Users/user/Downloads/10. MUSI BOSA CORTE 31 DE DICIEMBRE 2016_INSUMO CONTRALORIA.xls']Hoja1!$D$81:$G$158,4,0)</f>
        <v>1. AMBIENTE</v>
      </c>
      <c r="T49" s="39" t="str">
        <f aca="false">VLOOKUP(K49,['file:///Users/user/Downloads/10. MUSI BOSA CORTE 31 DE DICIEMBRE 2016_INSUMO CONTRALORIA.xls']Hoja1!$D$81:$G$158,3,0)</f>
        <v>Manejo integral de residuos sólidos </v>
      </c>
      <c r="U49" s="35" t="s">
        <v>52</v>
      </c>
      <c r="V49" s="41" t="n">
        <v>1</v>
      </c>
      <c r="W49" s="42" t="n">
        <f aca="false">AK49/P49</f>
        <v>16</v>
      </c>
      <c r="X49" s="42" t="n">
        <f aca="false">V49*W49</f>
        <v>16</v>
      </c>
      <c r="Y49" s="42" t="n">
        <f aca="false">AP49/P49</f>
        <v>11.25</v>
      </c>
      <c r="Z49" s="42" t="n">
        <f aca="false">Y49*V49</f>
        <v>11.25</v>
      </c>
      <c r="AA49" s="38" t="n">
        <v>275</v>
      </c>
      <c r="AB49" s="40" t="n">
        <v>1000</v>
      </c>
      <c r="AC49" s="40" t="n">
        <v>1000</v>
      </c>
      <c r="AD49" s="40" t="n">
        <v>1000</v>
      </c>
      <c r="AE49" s="40" t="n">
        <v>1000</v>
      </c>
      <c r="AF49" s="40" t="n">
        <f aca="false">SI(U49="Constante";PROMEDIO(AB49;AC49;AD49;AE49);SI(U49="Suma";SUMA(AB49;AC49;AD49;AE49);0))</f>
        <v>4000</v>
      </c>
      <c r="AG49" s="40" t="n">
        <v>30000</v>
      </c>
      <c r="AH49" s="40" t="n">
        <v>20000</v>
      </c>
      <c r="AI49" s="43" t="n">
        <v>0</v>
      </c>
      <c r="AJ49" s="44" t="n">
        <v>14000</v>
      </c>
      <c r="AK49" s="40" t="n">
        <f aca="false">SI(U49="Constante";PROMEDIO(AG49;AH49;AI49;AJ49);SI(U49="Suma";SUMA(AG49;AH49;AI49;AJ49);0))</f>
        <v>64000</v>
      </c>
      <c r="AL49" s="40" t="n">
        <v>16000</v>
      </c>
      <c r="AM49" s="43" t="n">
        <f aca="false">15000+9000+5000</f>
        <v>29000</v>
      </c>
      <c r="AN49" s="45" t="n">
        <v>0</v>
      </c>
      <c r="AO49" s="45" t="n">
        <v>0</v>
      </c>
      <c r="AP49" s="40" t="n">
        <f aca="false">SI(U49="Constante";PROMEDIO(AL49;AM49;AN49;AO49);SI(U49="Suma";SUMA(AL49;AM49;AN49;AO49);0))</f>
        <v>45000</v>
      </c>
      <c r="AQ49" s="46" t="n">
        <v>150000000</v>
      </c>
      <c r="AR49" s="46" t="n">
        <v>156358000</v>
      </c>
      <c r="AS49" s="46" t="n">
        <v>0</v>
      </c>
      <c r="AT49" s="47" t="n">
        <v>578966320</v>
      </c>
      <c r="AU49" s="46" t="n">
        <f aca="false">SUMA(AQ49:AT49)</f>
        <v>885324320</v>
      </c>
      <c r="AV49" s="46" t="n">
        <v>56400000</v>
      </c>
      <c r="AW49" s="46" t="n">
        <v>60001650</v>
      </c>
      <c r="AX49" s="46" t="n">
        <v>0</v>
      </c>
      <c r="AY49" s="47" t="n">
        <v>0</v>
      </c>
      <c r="AZ49" s="48" t="n">
        <f aca="false">SUMA(AV49:AY49)</f>
        <v>116401650</v>
      </c>
      <c r="BA49" s="49"/>
      <c r="BB49" s="49"/>
      <c r="BC49" s="49" t="s">
        <v>65</v>
      </c>
      <c r="BD49" s="51" t="s">
        <v>280</v>
      </c>
    </row>
    <row collapsed="false" customFormat="true" customHeight="true" hidden="false" ht="37.5" outlineLevel="0" r="50" s="52">
      <c r="A50" s="34" t="n">
        <f aca="false">VLOOKUP(B50,['file:///Users/user/Downloads/10. MUSI BOSA CORTE 31 DE DICIEMBRE 2016_INSUMO CONTRALORIA.xls']Hoja2!$B$47:$C$66,2,0)</f>
        <v>7</v>
      </c>
      <c r="B50" s="35" t="s">
        <v>43</v>
      </c>
      <c r="C50" s="34" t="n">
        <f aca="false">VLOOKUP(E50,['file:///Users/user/Downloads/10. MUSI BOSA CORTE 31 DE DICIEMBRE 2016_INSUMO CONTRALORIA.xls']Hoja2!$B$8:$C$10,2,0)</f>
        <v>2</v>
      </c>
      <c r="D50" s="34" t="s">
        <v>360</v>
      </c>
      <c r="E50" s="36" t="s">
        <v>209</v>
      </c>
      <c r="F50" s="34" t="n">
        <f aca="false">VLOOKUP(G50,['file:///Users/user/Downloads/10. MUSI BOSA CORTE 31 DE DICIEMBRE 2016_INSUMO CONTRALORIA.xls']Hoja2!$B$12:$C$40,2,0)</f>
        <v>22</v>
      </c>
      <c r="G50" s="36" t="s">
        <v>281</v>
      </c>
      <c r="H50" s="37" t="n">
        <v>371</v>
      </c>
      <c r="I50" s="36" t="s">
        <v>282</v>
      </c>
      <c r="J50" s="38" t="n">
        <f aca="false">VLOOKUP(K50,['file:///Users/user/Downloads/10. MUSI BOSA CORTE 31 DE DICIEMBRE 2016_INSUMO CONTRALORIA.xls']Hoja1!$D$81:$G$158,2,0)</f>
        <v>60</v>
      </c>
      <c r="K50" s="39" t="s">
        <v>283</v>
      </c>
      <c r="L50" s="38" t="n">
        <v>846</v>
      </c>
      <c r="M50" s="39" t="s">
        <v>284</v>
      </c>
      <c r="N50" s="38" t="n">
        <v>1</v>
      </c>
      <c r="O50" s="39" t="s">
        <v>254</v>
      </c>
      <c r="P50" s="40" t="n">
        <v>2000</v>
      </c>
      <c r="Q50" s="36" t="s">
        <v>63</v>
      </c>
      <c r="R50" s="36" t="s">
        <v>285</v>
      </c>
      <c r="S50" s="39" t="str">
        <f aca="false">VLOOKUP(K50,['file:///Users/user/Downloads/10. MUSI BOSA CORTE 31 DE DICIEMBRE 2016_INSUMO CONTRALORIA.xls']Hoja1!$D$81:$G$158,4,0)</f>
        <v>1. AMBIENTE</v>
      </c>
      <c r="T50" s="39" t="str">
        <f aca="false">VLOOKUP(K50,['file:///Users/user/Downloads/10. MUSI BOSA CORTE 31 DE DICIEMBRE 2016_INSUMO CONTRALORIA.xls']Hoja1!$D$81:$G$158,3,0)</f>
        <v>Calidad ambiental y preservación del patrimonio natural</v>
      </c>
      <c r="U50" s="35" t="s">
        <v>52</v>
      </c>
      <c r="V50" s="41" t="n">
        <v>1</v>
      </c>
      <c r="W50" s="42" t="n">
        <f aca="false">AK50/P50</f>
        <v>2.15</v>
      </c>
      <c r="X50" s="42" t="n">
        <f aca="false">V50*W50</f>
        <v>2.15</v>
      </c>
      <c r="Y50" s="42" t="n">
        <f aca="false">AP50/P50</f>
        <v>3.55</v>
      </c>
      <c r="Z50" s="42" t="n">
        <f aca="false">Y50*V50</f>
        <v>3.55</v>
      </c>
      <c r="AA50" s="38" t="n">
        <v>0</v>
      </c>
      <c r="AB50" s="40" t="n">
        <v>500</v>
      </c>
      <c r="AC50" s="40" t="n">
        <v>750</v>
      </c>
      <c r="AD50" s="40" t="n">
        <v>750</v>
      </c>
      <c r="AE50" s="40" t="n">
        <v>0</v>
      </c>
      <c r="AF50" s="40" t="n">
        <f aca="false">SI(U50="Constante";PROMEDIO(AB50;AC50;AD50;AE50);SI(U50="Suma";SUMA(AB50;AC50;AD50;AE50);0))</f>
        <v>2000</v>
      </c>
      <c r="AG50" s="40" t="n">
        <v>2300</v>
      </c>
      <c r="AH50" s="40" t="n">
        <v>2000</v>
      </c>
      <c r="AI50" s="43" t="n">
        <v>0</v>
      </c>
      <c r="AJ50" s="44" t="n">
        <v>0</v>
      </c>
      <c r="AK50" s="40" t="n">
        <f aca="false">SI(U50="Constante";PROMEDIO(AG50;AH50;AI50;AJ50);SI(U50="Suma";SUMA(AG50;AH50;AI50;AJ50);0))</f>
        <v>4300</v>
      </c>
      <c r="AL50" s="40" t="n">
        <v>2300</v>
      </c>
      <c r="AM50" s="43" t="n">
        <v>4800</v>
      </c>
      <c r="AN50" s="45" t="n">
        <v>0</v>
      </c>
      <c r="AO50" s="45" t="n">
        <v>0</v>
      </c>
      <c r="AP50" s="40" t="n">
        <f aca="false">SI(U50="Constante";PROMEDIO(AL50;AM50;AN50;AO50);SI(U50="Suma";SUMA(AL50;AM50;AN50;AO50);0))</f>
        <v>7100</v>
      </c>
      <c r="AQ50" s="46" t="n">
        <f aca="false">183628000+12000000</f>
        <v>195628000</v>
      </c>
      <c r="AR50" s="46" t="n">
        <v>304950000</v>
      </c>
      <c r="AS50" s="46" t="n">
        <v>0</v>
      </c>
      <c r="AT50" s="47" t="n">
        <v>0</v>
      </c>
      <c r="AU50" s="46" t="n">
        <f aca="false">SUMA(AQ50:AT50)</f>
        <v>500578000</v>
      </c>
      <c r="AV50" s="46" t="n">
        <v>0</v>
      </c>
      <c r="AW50" s="46" t="n">
        <v>85632600</v>
      </c>
      <c r="AX50" s="46" t="n">
        <v>0</v>
      </c>
      <c r="AY50" s="47" t="n">
        <v>0</v>
      </c>
      <c r="AZ50" s="48" t="n">
        <f aca="false">SUMA(AV50:AY50)</f>
        <v>85632600</v>
      </c>
      <c r="BA50" s="49"/>
      <c r="BB50" s="49"/>
      <c r="BC50" s="49" t="s">
        <v>65</v>
      </c>
      <c r="BD50" s="51" t="s">
        <v>286</v>
      </c>
    </row>
    <row collapsed="false" customFormat="true" customHeight="true" hidden="false" ht="37.5" outlineLevel="0" r="51" s="52">
      <c r="A51" s="34" t="n">
        <f aca="false">VLOOKUP(B51,['file:///Users/user/Downloads/10. MUSI BOSA CORTE 31 DE DICIEMBRE 2016_INSUMO CONTRALORIA.xls']Hoja2!$B$47:$C$66,2,0)</f>
        <v>7</v>
      </c>
      <c r="B51" s="35" t="s">
        <v>43</v>
      </c>
      <c r="C51" s="34" t="n">
        <f aca="false">VLOOKUP(E51,['file:///Users/user/Downloads/10. MUSI BOSA CORTE 31 DE DICIEMBRE 2016_INSUMO CONTRALORIA.xls']Hoja2!$B$8:$C$10,2,0)</f>
        <v>2</v>
      </c>
      <c r="D51" s="34" t="s">
        <v>360</v>
      </c>
      <c r="E51" s="36" t="s">
        <v>209</v>
      </c>
      <c r="F51" s="34" t="n">
        <f aca="false">VLOOKUP(G51,['file:///Users/user/Downloads/10. MUSI BOSA CORTE 31 DE DICIEMBRE 2016_INSUMO CONTRALORIA.xls']Hoja2!$B$12:$C$40,2,0)</f>
        <v>22</v>
      </c>
      <c r="G51" s="36" t="s">
        <v>281</v>
      </c>
      <c r="H51" s="37" t="n">
        <v>372</v>
      </c>
      <c r="I51" s="36" t="s">
        <v>287</v>
      </c>
      <c r="J51" s="38" t="n">
        <f aca="false">VLOOKUP(K51,['file:///Users/user/Downloads/10. MUSI BOSA CORTE 31 DE DICIEMBRE 2016_INSUMO CONTRALORIA.xls']Hoja1!$D$81:$G$158,2,0)</f>
        <v>43</v>
      </c>
      <c r="K51" s="39" t="s">
        <v>288</v>
      </c>
      <c r="L51" s="38" t="n">
        <v>846</v>
      </c>
      <c r="M51" s="39" t="s">
        <v>284</v>
      </c>
      <c r="N51" s="38" t="n">
        <v>2</v>
      </c>
      <c r="O51" s="39" t="s">
        <v>254</v>
      </c>
      <c r="P51" s="40" t="n">
        <v>1000</v>
      </c>
      <c r="Q51" s="36" t="s">
        <v>63</v>
      </c>
      <c r="R51" s="36" t="s">
        <v>289</v>
      </c>
      <c r="S51" s="39" t="str">
        <f aca="false">VLOOKUP(K51,['file:///Users/user/Downloads/10. MUSI BOSA CORTE 31 DE DICIEMBRE 2016_INSUMO CONTRALORIA.xls']Hoja1!$D$81:$G$158,4,0)</f>
        <v>1. AMBIENTE</v>
      </c>
      <c r="T51" s="39" t="str">
        <f aca="false">VLOOKUP(K51,['file:///Users/user/Downloads/10. MUSI BOSA CORTE 31 DE DICIEMBRE 2016_INSUMO CONTRALORIA.xls']Hoja1!$D$81:$G$158,3,0)</f>
        <v>Calidad ambiental y preservación del patrimonio natural</v>
      </c>
      <c r="U51" s="35" t="s">
        <v>52</v>
      </c>
      <c r="V51" s="41" t="n">
        <v>1</v>
      </c>
      <c r="W51" s="42" t="n">
        <f aca="false">AK51/P51</f>
        <v>0.8</v>
      </c>
      <c r="X51" s="42" t="n">
        <f aca="false">V51*W51</f>
        <v>0.8</v>
      </c>
      <c r="Y51" s="42" t="n">
        <f aca="false">AP51/P51</f>
        <v>0.8</v>
      </c>
      <c r="Z51" s="42" t="n">
        <f aca="false">Y51*V51</f>
        <v>0.8</v>
      </c>
      <c r="AA51" s="38" t="n">
        <v>0</v>
      </c>
      <c r="AB51" s="40" t="n">
        <v>250</v>
      </c>
      <c r="AC51" s="40" t="n">
        <v>375</v>
      </c>
      <c r="AD51" s="40" t="n">
        <v>375</v>
      </c>
      <c r="AE51" s="40" t="n">
        <v>0</v>
      </c>
      <c r="AF51" s="40" t="n">
        <f aca="false">SI(U51="Constante";PROMEDIO(AB51;AC51;AD51;AE51);SI(U51="Suma";SUMA(AB51;AC51;AD51;AE51);0))</f>
        <v>1000</v>
      </c>
      <c r="AG51" s="40" t="n">
        <v>300</v>
      </c>
      <c r="AH51" s="40" t="n">
        <v>200</v>
      </c>
      <c r="AI51" s="43" t="n">
        <v>300</v>
      </c>
      <c r="AJ51" s="44" t="n">
        <v>0</v>
      </c>
      <c r="AK51" s="40" t="n">
        <f aca="false">SI(U51="Constante";PROMEDIO(AG51;AH51;AI51;AJ51);SI(U51="Suma";SUMA(AG51;AH51;AI51;AJ51);0))</f>
        <v>800</v>
      </c>
      <c r="AL51" s="40" t="n">
        <v>300</v>
      </c>
      <c r="AM51" s="43" t="n">
        <v>200</v>
      </c>
      <c r="AN51" s="45" t="n">
        <v>300</v>
      </c>
      <c r="AO51" s="45" t="n">
        <v>0</v>
      </c>
      <c r="AP51" s="40" t="n">
        <f aca="false">SI(U51="Constante";PROMEDIO(AL51;AM51;AN51;AO51);SI(U51="Suma";SUMA(AL51;AM51;AN51;AO51);0))</f>
        <v>800</v>
      </c>
      <c r="AQ51" s="46" t="n">
        <v>190100000</v>
      </c>
      <c r="AR51" s="46" t="n">
        <v>95050000</v>
      </c>
      <c r="AS51" s="46" t="n">
        <v>187718490</v>
      </c>
      <c r="AT51" s="47" t="n">
        <v>0</v>
      </c>
      <c r="AU51" s="46" t="n">
        <f aca="false">SUMA(AQ51:AT51)</f>
        <v>472868490</v>
      </c>
      <c r="AV51" s="46" t="n">
        <v>0</v>
      </c>
      <c r="AW51" s="46" t="n">
        <v>86145000</v>
      </c>
      <c r="AX51" s="46" t="n">
        <v>109031094</v>
      </c>
      <c r="AY51" s="47" t="n">
        <v>0</v>
      </c>
      <c r="AZ51" s="48" t="n">
        <f aca="false">SUMA(AV51:AY51)</f>
        <v>195176094</v>
      </c>
      <c r="BA51" s="49"/>
      <c r="BB51" s="49"/>
      <c r="BC51" s="49" t="s">
        <v>65</v>
      </c>
      <c r="BD51" s="51"/>
    </row>
    <row collapsed="false" customFormat="true" customHeight="true" hidden="false" ht="37.5" outlineLevel="0" r="52" s="52">
      <c r="A52" s="34" t="n">
        <f aca="false">VLOOKUP(B52,['file:///Users/user/Downloads/10. MUSI BOSA CORTE 31 DE DICIEMBRE 2016_INSUMO CONTRALORIA.xls']Hoja2!$B$47:$C$66,2,0)</f>
        <v>7</v>
      </c>
      <c r="B52" s="35" t="s">
        <v>43</v>
      </c>
      <c r="C52" s="34" t="n">
        <f aca="false">VLOOKUP(E52,['file:///Users/user/Downloads/10. MUSI BOSA CORTE 31 DE DICIEMBRE 2016_INSUMO CONTRALORIA.xls']Hoja2!$B$8:$C$10,2,0)</f>
        <v>3</v>
      </c>
      <c r="D52" s="34" t="s">
        <v>361</v>
      </c>
      <c r="E52" s="36" t="s">
        <v>290</v>
      </c>
      <c r="F52" s="34" t="n">
        <f aca="false">VLOOKUP(G52,['file:///Users/user/Downloads/10. MUSI BOSA CORTE 31 DE DICIEMBRE 2016_INSUMO CONTRALORIA.xls']Hoja2!$B$12:$C$40,2,0)</f>
        <v>24</v>
      </c>
      <c r="G52" s="36" t="s">
        <v>291</v>
      </c>
      <c r="H52" s="37" t="n">
        <v>373</v>
      </c>
      <c r="I52" s="36" t="s">
        <v>292</v>
      </c>
      <c r="J52" s="38" t="n">
        <f aca="false">VLOOKUP(K52,['file:///Users/user/Downloads/10. MUSI BOSA CORTE 31 DE DICIEMBRE 2016_INSUMO CONTRALORIA.xls']Hoja1!$D$81:$G$158,2,0)</f>
        <v>61</v>
      </c>
      <c r="K52" s="39" t="s">
        <v>293</v>
      </c>
      <c r="L52" s="38" t="n">
        <v>848</v>
      </c>
      <c r="M52" s="39" t="s">
        <v>294</v>
      </c>
      <c r="N52" s="38" t="n">
        <v>3</v>
      </c>
      <c r="O52" s="39" t="s">
        <v>56</v>
      </c>
      <c r="P52" s="40" t="n">
        <v>6000</v>
      </c>
      <c r="Q52" s="36" t="s">
        <v>63</v>
      </c>
      <c r="R52" s="36" t="s">
        <v>295</v>
      </c>
      <c r="S52" s="39" t="str">
        <f aca="false">VLOOKUP(K52,['file:///Users/user/Downloads/10. MUSI BOSA CORTE 31 DE DICIEMBRE 2016_INSUMO CONTRALORIA.xls']Hoja1!$D$81:$G$158,4,0)</f>
        <v>5. GOBIERNO </v>
      </c>
      <c r="T52" s="39" t="str">
        <f aca="false">VLOOKUP(K52,['file:///Users/user/Downloads/10. MUSI BOSA CORTE 31 DE DICIEMBRE 2016_INSUMO CONTRALORIA.xls']Hoja1!$D$81:$G$158,3,0)</f>
        <v>Espacios y procesos de participación ciudadana fortalecidos </v>
      </c>
      <c r="U52" s="96" t="s">
        <v>52</v>
      </c>
      <c r="V52" s="41" t="n">
        <v>1</v>
      </c>
      <c r="W52" s="42" t="n">
        <f aca="false">AK52/P52</f>
        <v>1.00883333333333</v>
      </c>
      <c r="X52" s="42" t="n">
        <f aca="false">V52*W52</f>
        <v>1.00883333333333</v>
      </c>
      <c r="Y52" s="42" t="n">
        <f aca="false">AP52/P52</f>
        <v>1.06316666666667</v>
      </c>
      <c r="Z52" s="42" t="n">
        <f aca="false">Y52*V52</f>
        <v>1.06316666666667</v>
      </c>
      <c r="AA52" s="38" t="n">
        <v>0</v>
      </c>
      <c r="AB52" s="40" t="n">
        <v>1500</v>
      </c>
      <c r="AC52" s="40" t="n">
        <v>1500</v>
      </c>
      <c r="AD52" s="40" t="n">
        <v>1500</v>
      </c>
      <c r="AE52" s="40" t="n">
        <v>1500</v>
      </c>
      <c r="AF52" s="40" t="n">
        <f aca="false">SI(U52="Constante";PROMEDIO(AB52;AC52;AD52;AE52);SI(U52="Suma";SUMA(AB52;AC52;AD52;AE52);0))</f>
        <v>6000</v>
      </c>
      <c r="AG52" s="40" t="n">
        <f aca="false">100+1200+1850+150+1330</f>
        <v>4630</v>
      </c>
      <c r="AH52" s="40" t="n">
        <v>1167</v>
      </c>
      <c r="AI52" s="43" t="n">
        <v>256</v>
      </c>
      <c r="AJ52" s="44" t="n">
        <v>0</v>
      </c>
      <c r="AK52" s="40" t="n">
        <f aca="false">SI(U52="Constante";PROMEDIO(AG52;AH52;AI52;AJ52);SI(U52="Suma";SUMA(AG52;AH52;AI52;AJ52);0))</f>
        <v>6053</v>
      </c>
      <c r="AL52" s="40" t="n">
        <v>4630</v>
      </c>
      <c r="AM52" s="43" t="n">
        <v>1493</v>
      </c>
      <c r="AN52" s="45" t="n">
        <v>256</v>
      </c>
      <c r="AO52" s="45" t="n">
        <v>0</v>
      </c>
      <c r="AP52" s="40" t="n">
        <f aca="false">SI(U52="Constante";PROMEDIO(AL52;AM52;AN52;AO52);SI(U52="Suma";SUMA(AL52;AM52;AN52;AO52);0))</f>
        <v>6379</v>
      </c>
      <c r="AQ52" s="46" t="n">
        <v>50000000</v>
      </c>
      <c r="AR52" s="46" t="n">
        <v>155000000</v>
      </c>
      <c r="AS52" s="46" t="n">
        <v>75000000</v>
      </c>
      <c r="AT52" s="47" t="n">
        <v>0</v>
      </c>
      <c r="AU52" s="46" t="n">
        <f aca="false">SUMA(AQ52:AT52)</f>
        <v>280000000</v>
      </c>
      <c r="AV52" s="46" t="n">
        <v>44378670</v>
      </c>
      <c r="AW52" s="46" t="n">
        <v>94379852</v>
      </c>
      <c r="AX52" s="46" t="n">
        <v>0</v>
      </c>
      <c r="AY52" s="47" t="n">
        <v>0</v>
      </c>
      <c r="AZ52" s="48" t="n">
        <f aca="false">SUMA(AV52:AY52)</f>
        <v>138758522</v>
      </c>
      <c r="BA52" s="49"/>
      <c r="BB52" s="49"/>
      <c r="BC52" s="49" t="s">
        <v>65</v>
      </c>
      <c r="BD52" s="51" t="s">
        <v>296</v>
      </c>
    </row>
    <row collapsed="false" customFormat="true" customHeight="true" hidden="false" ht="37.5" outlineLevel="0" r="53" s="52">
      <c r="A53" s="34" t="n">
        <f aca="false">VLOOKUP(B53,['file:///Users/user/Downloads/10. MUSI BOSA CORTE 31 DE DICIEMBRE 2016_INSUMO CONTRALORIA.xls']Hoja2!$B$47:$C$66,2,0)</f>
        <v>7</v>
      </c>
      <c r="B53" s="35" t="s">
        <v>43</v>
      </c>
      <c r="C53" s="34" t="n">
        <f aca="false">VLOOKUP(E53,['file:///Users/user/Downloads/10. MUSI BOSA CORTE 31 DE DICIEMBRE 2016_INSUMO CONTRALORIA.xls']Hoja2!$B$8:$C$10,2,0)</f>
        <v>3</v>
      </c>
      <c r="D53" s="34" t="s">
        <v>361</v>
      </c>
      <c r="E53" s="36" t="s">
        <v>290</v>
      </c>
      <c r="F53" s="34" t="n">
        <f aca="false">VLOOKUP(G53,['file:///Users/user/Downloads/10. MUSI BOSA CORTE 31 DE DICIEMBRE 2016_INSUMO CONTRALORIA.xls']Hoja2!$B$12:$C$40,2,0)</f>
        <v>24</v>
      </c>
      <c r="G53" s="36" t="s">
        <v>291</v>
      </c>
      <c r="H53" s="37" t="n">
        <v>374</v>
      </c>
      <c r="I53" s="36" t="s">
        <v>297</v>
      </c>
      <c r="J53" s="38" t="n">
        <f aca="false">VLOOKUP(K53,['file:///Users/user/Downloads/10. MUSI BOSA CORTE 31 DE DICIEMBRE 2016_INSUMO CONTRALORIA.xls']Hoja1!$D$81:$G$158,2,0)</f>
        <v>71</v>
      </c>
      <c r="K53" s="39" t="s">
        <v>298</v>
      </c>
      <c r="L53" s="38" t="n">
        <v>848</v>
      </c>
      <c r="M53" s="39" t="s">
        <v>294</v>
      </c>
      <c r="N53" s="38" t="n">
        <v>4</v>
      </c>
      <c r="O53" s="39" t="s">
        <v>56</v>
      </c>
      <c r="P53" s="40" t="n">
        <v>600</v>
      </c>
      <c r="Q53" s="36" t="s">
        <v>63</v>
      </c>
      <c r="R53" s="36" t="s">
        <v>299</v>
      </c>
      <c r="S53" s="39" t="str">
        <f aca="false">VLOOKUP(K53,['file:///Users/user/Downloads/10. MUSI BOSA CORTE 31 DE DICIEMBRE 2016_INSUMO CONTRALORIA.xls']Hoja1!$D$81:$G$158,4,0)</f>
        <v>5. GOBIERNO </v>
      </c>
      <c r="T53" s="39" t="str">
        <f aca="false">VLOOKUP(K53,['file:///Users/user/Downloads/10. MUSI BOSA CORTE 31 DE DICIEMBRE 2016_INSUMO CONTRALORIA.xls']Hoja1!$D$81:$G$158,3,0)</f>
        <v>Espacios para el control social</v>
      </c>
      <c r="U53" s="35" t="s">
        <v>52</v>
      </c>
      <c r="V53" s="41" t="n">
        <v>1</v>
      </c>
      <c r="W53" s="42" t="n">
        <f aca="false">AK53/P53</f>
        <v>1.18333333333333</v>
      </c>
      <c r="X53" s="42" t="n">
        <f aca="false">V53*W53</f>
        <v>1.18333333333333</v>
      </c>
      <c r="Y53" s="42" t="n">
        <f aca="false">AP53/P53</f>
        <v>0.876666666666667</v>
      </c>
      <c r="Z53" s="42" t="n">
        <f aca="false">Y53*V53</f>
        <v>0.876666666666667</v>
      </c>
      <c r="AA53" s="38" t="n">
        <v>0</v>
      </c>
      <c r="AB53" s="40" t="n">
        <v>150</v>
      </c>
      <c r="AC53" s="40" t="n">
        <v>150</v>
      </c>
      <c r="AD53" s="40" t="n">
        <v>150</v>
      </c>
      <c r="AE53" s="40" t="n">
        <v>150</v>
      </c>
      <c r="AF53" s="40" t="n">
        <f aca="false">SI(U53="Constante";PROMEDIO(AB53;AC53;AD53;AE53);SI(U53="Suma";SUMA(AB53;AC53;AD53;AE53);0))</f>
        <v>600</v>
      </c>
      <c r="AG53" s="40" t="n">
        <v>390</v>
      </c>
      <c r="AH53" s="40" t="n">
        <v>320</v>
      </c>
      <c r="AI53" s="43" t="n">
        <v>0</v>
      </c>
      <c r="AJ53" s="44" t="n">
        <v>0</v>
      </c>
      <c r="AK53" s="40" t="n">
        <f aca="false">SI(U53="Constante";PROMEDIO(AG53;AH53;AI53;AJ53);SI(U53="Suma";SUMA(AG53;AH53;AI53;AJ53);0))</f>
        <v>710</v>
      </c>
      <c r="AL53" s="40" t="n">
        <v>200</v>
      </c>
      <c r="AM53" s="43" t="n">
        <v>326</v>
      </c>
      <c r="AN53" s="45" t="n">
        <v>0</v>
      </c>
      <c r="AO53" s="45" t="n">
        <v>0</v>
      </c>
      <c r="AP53" s="40" t="n">
        <f aca="false">SI(U53="Constante";PROMEDIO(AL53;AM53;AN53;AO53);SI(U53="Suma";SUMA(AL53;AM53;AN53;AO53);0))</f>
        <v>526</v>
      </c>
      <c r="AQ53" s="46" t="n">
        <v>254000000</v>
      </c>
      <c r="AR53" s="46" t="n">
        <v>263038947</v>
      </c>
      <c r="AS53" s="46" t="n">
        <v>0</v>
      </c>
      <c r="AT53" s="47" t="n">
        <v>0</v>
      </c>
      <c r="AU53" s="46" t="n">
        <f aca="false">SUMA(AQ53:AT53)</f>
        <v>517038947</v>
      </c>
      <c r="AV53" s="46" t="n">
        <v>0</v>
      </c>
      <c r="AW53" s="46" t="n">
        <v>4281429</v>
      </c>
      <c r="AX53" s="46" t="n">
        <v>0</v>
      </c>
      <c r="AY53" s="47" t="n">
        <v>0</v>
      </c>
      <c r="AZ53" s="48" t="n">
        <f aca="false">SUMA(AV53:AY53)</f>
        <v>4281429</v>
      </c>
      <c r="BA53" s="49"/>
      <c r="BB53" s="49"/>
      <c r="BC53" s="49" t="s">
        <v>65</v>
      </c>
      <c r="BD53" s="51" t="s">
        <v>300</v>
      </c>
    </row>
    <row collapsed="false" customFormat="true" customHeight="true" hidden="false" ht="37.5" outlineLevel="0" r="54" s="52">
      <c r="A54" s="34" t="n">
        <f aca="false">VLOOKUP(B54,['file:///Users/user/Downloads/10. MUSI BOSA CORTE 31 DE DICIEMBRE 2016_INSUMO CONTRALORIA.xls']Hoja2!$B$47:$C$66,2,0)</f>
        <v>7</v>
      </c>
      <c r="B54" s="35" t="s">
        <v>43</v>
      </c>
      <c r="C54" s="34" t="n">
        <f aca="false">VLOOKUP(E54,['file:///Users/user/Downloads/10. MUSI BOSA CORTE 31 DE DICIEMBRE 2016_INSUMO CONTRALORIA.xls']Hoja2!$B$8:$C$10,2,0)</f>
        <v>3</v>
      </c>
      <c r="D54" s="34" t="s">
        <v>361</v>
      </c>
      <c r="E54" s="36" t="s">
        <v>290</v>
      </c>
      <c r="F54" s="34" t="n">
        <f aca="false">VLOOKUP(G54,['file:///Users/user/Downloads/10. MUSI BOSA CORTE 31 DE DICIEMBRE 2016_INSUMO CONTRALORIA.xls']Hoja2!$B$12:$C$40,2,0)</f>
        <v>24</v>
      </c>
      <c r="G54" s="36" t="s">
        <v>291</v>
      </c>
      <c r="H54" s="37" t="n">
        <v>375</v>
      </c>
      <c r="I54" s="36" t="s">
        <v>301</v>
      </c>
      <c r="J54" s="38" t="n">
        <f aca="false">VLOOKUP(K54,['file:///Users/user/Downloads/10. MUSI BOSA CORTE 31 DE DICIEMBRE 2016_INSUMO CONTRALORIA.xls']Hoja1!$D$81:$G$158,2,0)</f>
        <v>65</v>
      </c>
      <c r="K54" s="39" t="s">
        <v>302</v>
      </c>
      <c r="L54" s="38" t="n">
        <v>848</v>
      </c>
      <c r="M54" s="39" t="s">
        <v>294</v>
      </c>
      <c r="N54" s="38" t="n">
        <v>1</v>
      </c>
      <c r="O54" s="39" t="s">
        <v>303</v>
      </c>
      <c r="P54" s="40" t="n">
        <v>160</v>
      </c>
      <c r="Q54" s="36" t="s">
        <v>304</v>
      </c>
      <c r="R54" s="36" t="s">
        <v>305</v>
      </c>
      <c r="S54" s="39" t="str">
        <f aca="false">VLOOKUP(K54,['file:///Users/user/Downloads/10. MUSI BOSA CORTE 31 DE DICIEMBRE 2016_INSUMO CONTRALORIA.xls']Hoja1!$D$81:$G$158,4,0)</f>
        <v>5. GOBIERNO </v>
      </c>
      <c r="T54" s="39" t="str">
        <f aca="false">VLOOKUP(K54,['file:///Users/user/Downloads/10. MUSI BOSA CORTE 31 DE DICIEMBRE 2016_INSUMO CONTRALORIA.xls']Hoja1!$D$81:$G$158,3,0)</f>
        <v>Espacios y procesos de participación ciudadana fortalecidos </v>
      </c>
      <c r="U54" s="35" t="s">
        <v>52</v>
      </c>
      <c r="V54" s="41" t="n">
        <v>1</v>
      </c>
      <c r="W54" s="42" t="n">
        <f aca="false">AK54/P54</f>
        <v>1.5</v>
      </c>
      <c r="X54" s="42" t="n">
        <f aca="false">V54*W54</f>
        <v>1.5</v>
      </c>
      <c r="Y54" s="42" t="n">
        <f aca="false">AP54/P54</f>
        <v>1.45625</v>
      </c>
      <c r="Z54" s="42" t="n">
        <f aca="false">Y54*V54</f>
        <v>1.45625</v>
      </c>
      <c r="AA54" s="38" t="n">
        <v>204</v>
      </c>
      <c r="AB54" s="40" t="n">
        <v>40</v>
      </c>
      <c r="AC54" s="40" t="n">
        <v>40</v>
      </c>
      <c r="AD54" s="40" t="n">
        <v>40</v>
      </c>
      <c r="AE54" s="40" t="n">
        <v>40</v>
      </c>
      <c r="AF54" s="40" t="n">
        <f aca="false">SI(U54="Constante";PROMEDIO(AB54;AC54;AD54;AE54);SI(U54="Suma";SUMA(AB54;AC54;AD54;AE54);0))</f>
        <v>160</v>
      </c>
      <c r="AG54" s="40" t="n">
        <v>40</v>
      </c>
      <c r="AH54" s="40" t="n">
        <v>48</v>
      </c>
      <c r="AI54" s="43" t="n">
        <v>32</v>
      </c>
      <c r="AJ54" s="44" t="n">
        <v>120</v>
      </c>
      <c r="AK54" s="40" t="n">
        <f aca="false">SI(U54="Constante";PROMEDIO(AG54;AH54;AI54;AJ54);SI(U54="Suma";SUMA(AG54;AH54;AI54;AJ54);0))</f>
        <v>240</v>
      </c>
      <c r="AL54" s="40" t="n">
        <v>36</v>
      </c>
      <c r="AM54" s="43" t="n">
        <v>45</v>
      </c>
      <c r="AN54" s="45" t="n">
        <v>32</v>
      </c>
      <c r="AO54" s="45" t="n">
        <v>120</v>
      </c>
      <c r="AP54" s="40" t="n">
        <f aca="false">SI(U54="Constante";PROMEDIO(AL54;AM54;AN54;AO54);SI(U54="Suma";SUMA(AL54;AM54;AN54;AO54);0))</f>
        <v>233</v>
      </c>
      <c r="AQ54" s="46" t="n">
        <v>214000000</v>
      </c>
      <c r="AR54" s="46" t="n">
        <v>220485000</v>
      </c>
      <c r="AS54" s="46" t="n">
        <v>220922014</v>
      </c>
      <c r="AT54" s="47" t="n">
        <v>116426005</v>
      </c>
      <c r="AU54" s="46" t="n">
        <f aca="false">SUMA(AQ54:AT54)</f>
        <v>771833019</v>
      </c>
      <c r="AV54" s="46" t="n">
        <v>0</v>
      </c>
      <c r="AW54" s="46" t="n">
        <v>6392000</v>
      </c>
      <c r="AX54" s="46" t="n">
        <v>9392458</v>
      </c>
      <c r="AY54" s="47" t="n">
        <v>85834698</v>
      </c>
      <c r="AZ54" s="48" t="n">
        <f aca="false">SUMA(AV54:AY54)</f>
        <v>101619156</v>
      </c>
      <c r="BA54" s="49"/>
      <c r="BB54" s="49"/>
      <c r="BC54" s="49" t="s">
        <v>65</v>
      </c>
      <c r="BD54" s="51" t="s">
        <v>306</v>
      </c>
    </row>
    <row collapsed="false" customFormat="true" customHeight="true" hidden="false" ht="37.5" outlineLevel="0" r="55" s="52">
      <c r="A55" s="34" t="n">
        <f aca="false">VLOOKUP(B55,['file:///Users/user/Downloads/10. MUSI BOSA CORTE 31 DE DICIEMBRE 2016_INSUMO CONTRALORIA.xls']Hoja2!$B$47:$C$66,2,0)</f>
        <v>7</v>
      </c>
      <c r="B55" s="35" t="s">
        <v>43</v>
      </c>
      <c r="C55" s="34" t="n">
        <f aca="false">VLOOKUP(E55,['file:///Users/user/Downloads/10. MUSI BOSA CORTE 31 DE DICIEMBRE 2016_INSUMO CONTRALORIA.xls']Hoja2!$B$8:$C$10,2,0)</f>
        <v>3</v>
      </c>
      <c r="D55" s="34" t="s">
        <v>361</v>
      </c>
      <c r="E55" s="36" t="s">
        <v>290</v>
      </c>
      <c r="F55" s="34" t="n">
        <f aca="false">VLOOKUP(G55,['file:///Users/user/Downloads/10. MUSI BOSA CORTE 31 DE DICIEMBRE 2016_INSUMO CONTRALORIA.xls']Hoja2!$B$12:$C$40,2,0)</f>
        <v>24</v>
      </c>
      <c r="G55" s="36" t="s">
        <v>291</v>
      </c>
      <c r="H55" s="37" t="n">
        <v>376</v>
      </c>
      <c r="I55" s="36" t="s">
        <v>307</v>
      </c>
      <c r="J55" s="38" t="n">
        <f aca="false">VLOOKUP(K55,['file:///Users/user/Downloads/10. MUSI BOSA CORTE 31 DE DICIEMBRE 2016_INSUMO CONTRALORIA.xls']Hoja1!$D$81:$G$158,2,0)</f>
        <v>63</v>
      </c>
      <c r="K55" s="39" t="s">
        <v>308</v>
      </c>
      <c r="L55" s="38" t="n">
        <v>848</v>
      </c>
      <c r="M55" s="39" t="s">
        <v>294</v>
      </c>
      <c r="N55" s="38" t="n">
        <v>7</v>
      </c>
      <c r="O55" s="39" t="s">
        <v>49</v>
      </c>
      <c r="P55" s="40" t="n">
        <v>75</v>
      </c>
      <c r="Q55" s="36" t="s">
        <v>309</v>
      </c>
      <c r="R55" s="36" t="s">
        <v>310</v>
      </c>
      <c r="S55" s="39" t="str">
        <f aca="false">VLOOKUP(K55,['file:///Users/user/Downloads/10. MUSI BOSA CORTE 31 DE DICIEMBRE 2016_INSUMO CONTRALORIA.xls']Hoja1!$D$81:$G$158,4,0)</f>
        <v>5. GOBIERNO </v>
      </c>
      <c r="T55" s="39" t="str">
        <f aca="false">VLOOKUP(K55,['file:///Users/user/Downloads/10. MUSI BOSA CORTE 31 DE DICIEMBRE 2016_INSUMO CONTRALORIA.xls']Hoja1!$D$81:$G$158,3,0)</f>
        <v>Espacios y procesos de participación ciudadana fortalecidos </v>
      </c>
      <c r="U55" s="35" t="s">
        <v>52</v>
      </c>
      <c r="V55" s="41" t="n">
        <v>1</v>
      </c>
      <c r="W55" s="42" t="n">
        <f aca="false">AK55/P55</f>
        <v>0.786666666666667</v>
      </c>
      <c r="X55" s="42" t="n">
        <f aca="false">V55*W55</f>
        <v>0.786666666666667</v>
      </c>
      <c r="Y55" s="42" t="n">
        <f aca="false">AP55/P55</f>
        <v>0.586666666666667</v>
      </c>
      <c r="Z55" s="42" t="n">
        <f aca="false">Y55*V55</f>
        <v>0.586666666666667</v>
      </c>
      <c r="AA55" s="38" t="n">
        <v>91</v>
      </c>
      <c r="AB55" s="40" t="n">
        <v>18</v>
      </c>
      <c r="AC55" s="40" t="n">
        <v>19</v>
      </c>
      <c r="AD55" s="40" t="n">
        <v>19</v>
      </c>
      <c r="AE55" s="40" t="n">
        <v>19</v>
      </c>
      <c r="AF55" s="40" t="n">
        <f aca="false">SI(U55="Constante";PROMEDIO(AB55;AC55;AD55;AE55);SI(U55="Suma";SUMA(AB55;AC55;AD55;AE55);0))</f>
        <v>75</v>
      </c>
      <c r="AG55" s="40" t="n">
        <v>19</v>
      </c>
      <c r="AH55" s="40" t="n">
        <v>25</v>
      </c>
      <c r="AI55" s="43" t="n">
        <v>0</v>
      </c>
      <c r="AJ55" s="44" t="n">
        <v>15</v>
      </c>
      <c r="AK55" s="40" t="n">
        <f aca="false">SI(U55="Constante";PROMEDIO(AG55;AH55;AI55;AJ55);SI(U55="Suma";SUMA(AG55;AH55;AI55;AJ55);0))</f>
        <v>59</v>
      </c>
      <c r="AL55" s="40" t="n">
        <v>17</v>
      </c>
      <c r="AM55" s="43" t="n">
        <v>27</v>
      </c>
      <c r="AN55" s="45" t="n">
        <v>0</v>
      </c>
      <c r="AO55" s="45" t="n">
        <v>0</v>
      </c>
      <c r="AP55" s="40" t="n">
        <f aca="false">SI(U55="Constante";PROMEDIO(AL55;AM55;AN55;AO55);SI(U55="Suma";SUMA(AL55;AM55;AN55;AO55);0))</f>
        <v>44</v>
      </c>
      <c r="AQ55" s="46" t="n">
        <v>233029642</v>
      </c>
      <c r="AR55" s="46" t="n">
        <v>143692304</v>
      </c>
      <c r="AS55" s="46" t="n">
        <v>0</v>
      </c>
      <c r="AT55" s="47" t="n">
        <v>189046256</v>
      </c>
      <c r="AU55" s="46" t="n">
        <f aca="false">SUMA(AQ55:AT55)</f>
        <v>565768202</v>
      </c>
      <c r="AV55" s="46" t="n">
        <v>0</v>
      </c>
      <c r="AW55" s="46" t="n">
        <v>7666624</v>
      </c>
      <c r="AX55" s="46" t="n">
        <v>0</v>
      </c>
      <c r="AY55" s="47" t="n">
        <v>0</v>
      </c>
      <c r="AZ55" s="48" t="n">
        <f aca="false">SUMA(AV55:AY55)</f>
        <v>7666624</v>
      </c>
      <c r="BA55" s="49"/>
      <c r="BB55" s="49"/>
      <c r="BC55" s="49" t="s">
        <v>65</v>
      </c>
      <c r="BD55" s="51"/>
    </row>
    <row collapsed="false" customFormat="true" customHeight="true" hidden="false" ht="37.5" outlineLevel="0" r="56" s="52">
      <c r="A56" s="34" t="n">
        <f aca="false">VLOOKUP(B56,['file:///Users/user/Downloads/10. MUSI BOSA CORTE 31 DE DICIEMBRE 2016_INSUMO CONTRALORIA.xls']Hoja2!$B$47:$C$66,2,0)</f>
        <v>7</v>
      </c>
      <c r="B56" s="35" t="s">
        <v>43</v>
      </c>
      <c r="C56" s="34" t="n">
        <f aca="false">VLOOKUP(E56,['file:///Users/user/Downloads/10. MUSI BOSA CORTE 31 DE DICIEMBRE 2016_INSUMO CONTRALORIA.xls']Hoja2!$B$8:$C$10,2,0)</f>
        <v>3</v>
      </c>
      <c r="D56" s="34" t="s">
        <v>361</v>
      </c>
      <c r="E56" s="36" t="s">
        <v>290</v>
      </c>
      <c r="F56" s="34" t="n">
        <f aca="false">VLOOKUP(G56,['file:///Users/user/Downloads/10. MUSI BOSA CORTE 31 DE DICIEMBRE 2016_INSUMO CONTRALORIA.xls']Hoja2!$B$12:$C$40,2,0)</f>
        <v>24</v>
      </c>
      <c r="G56" s="36" t="s">
        <v>291</v>
      </c>
      <c r="H56" s="37" t="n">
        <v>377</v>
      </c>
      <c r="I56" s="36" t="s">
        <v>311</v>
      </c>
      <c r="J56" s="38" t="str">
        <f aca="false">VLOOKUP(K56,['file:///Users/user/Downloads/10. MUSI BOSA CORTE 31 DE DICIEMBRE 2016_INSUMO CONTRALORIA.xls']Hoja1!$D$81:$G$158,2,0)</f>
        <v>N/A</v>
      </c>
      <c r="K56" s="39" t="s">
        <v>196</v>
      </c>
      <c r="L56" s="38" t="n">
        <v>848</v>
      </c>
      <c r="M56" s="39" t="s">
        <v>294</v>
      </c>
      <c r="N56" s="38" t="n">
        <v>6</v>
      </c>
      <c r="O56" s="39" t="s">
        <v>312</v>
      </c>
      <c r="P56" s="40" t="n">
        <v>1</v>
      </c>
      <c r="Q56" s="36" t="s">
        <v>313</v>
      </c>
      <c r="R56" s="36" t="s">
        <v>314</v>
      </c>
      <c r="S56" s="39" t="str">
        <f aca="false">VLOOKUP(K56,['file:///Users/user/Downloads/10. MUSI BOSA CORTE 31 DE DICIEMBRE 2016_INSUMO CONTRALORIA.xls']Hoja1!$D$81:$G$158,4,0)</f>
        <v>N/A</v>
      </c>
      <c r="T56" s="39" t="str">
        <f aca="false">VLOOKUP(K56,['file:///Users/user/Downloads/10. MUSI BOSA CORTE 31 DE DICIEMBRE 2016_INSUMO CONTRALORIA.xls']Hoja1!$D$81:$G$158,3,0)</f>
        <v>N/A</v>
      </c>
      <c r="U56" s="35" t="s">
        <v>52</v>
      </c>
      <c r="V56" s="41" t="n">
        <v>1</v>
      </c>
      <c r="W56" s="42" t="n">
        <f aca="false">AK56/P56</f>
        <v>1</v>
      </c>
      <c r="X56" s="42" t="n">
        <f aca="false">V56*W56</f>
        <v>1</v>
      </c>
      <c r="Y56" s="42" t="n">
        <f aca="false">AP56/P56</f>
        <v>1</v>
      </c>
      <c r="Z56" s="42" t="n">
        <f aca="false">Y56*V56</f>
        <v>1</v>
      </c>
      <c r="AA56" s="38" t="n">
        <v>0</v>
      </c>
      <c r="AB56" s="40" t="n">
        <v>1</v>
      </c>
      <c r="AC56" s="40" t="n">
        <v>0</v>
      </c>
      <c r="AD56" s="40" t="n">
        <v>0</v>
      </c>
      <c r="AE56" s="40" t="n">
        <v>0</v>
      </c>
      <c r="AF56" s="40" t="n">
        <f aca="false">SI(U56="Constante";PROMEDIO(AB56;AC56;AD56;AE56);SI(U56="Suma";SUMA(AB56;AC56;AD56;AE56);0))</f>
        <v>1</v>
      </c>
      <c r="AG56" s="40" t="n">
        <v>1</v>
      </c>
      <c r="AH56" s="40" t="n">
        <v>0</v>
      </c>
      <c r="AI56" s="43" t="n">
        <v>0</v>
      </c>
      <c r="AJ56" s="44" t="n">
        <v>0</v>
      </c>
      <c r="AK56" s="40" t="n">
        <f aca="false">SI(U56="Constante";PROMEDIO(AG56;AH56;AI56;AJ56);SI(U56="Suma";SUMA(AG56;AH56;AI56;AJ56);0))</f>
        <v>1</v>
      </c>
      <c r="AL56" s="40" t="n">
        <v>1</v>
      </c>
      <c r="AM56" s="43" t="n">
        <v>0</v>
      </c>
      <c r="AN56" s="45" t="n">
        <v>0</v>
      </c>
      <c r="AO56" s="45" t="n">
        <v>0</v>
      </c>
      <c r="AP56" s="40" t="n">
        <f aca="false">SI(U56="Constante";PROMEDIO(AL56;AM56;AN56;AO56);SI(U56="Suma";SUMA(AL56;AM56;AN56;AO56);0))</f>
        <v>1</v>
      </c>
      <c r="AQ56" s="46" t="n">
        <v>3079952566</v>
      </c>
      <c r="AR56" s="46" t="n">
        <v>0</v>
      </c>
      <c r="AS56" s="46" t="n">
        <v>0</v>
      </c>
      <c r="AT56" s="47" t="n">
        <v>0</v>
      </c>
      <c r="AU56" s="46" t="n">
        <f aca="false">SUMA(AQ56:AT56)</f>
        <v>3079952566</v>
      </c>
      <c r="AV56" s="46" t="n">
        <v>215077847</v>
      </c>
      <c r="AW56" s="46" t="n">
        <v>0</v>
      </c>
      <c r="AX56" s="46" t="n">
        <v>0</v>
      </c>
      <c r="AY56" s="47" t="n">
        <v>0</v>
      </c>
      <c r="AZ56" s="48" t="n">
        <f aca="false">SUMA(AV56:AY56)</f>
        <v>215077847</v>
      </c>
      <c r="BA56" s="49"/>
      <c r="BB56" s="49"/>
      <c r="BC56" s="49" t="s">
        <v>65</v>
      </c>
      <c r="BD56" s="51"/>
    </row>
    <row collapsed="false" customFormat="true" customHeight="true" hidden="false" ht="37.5" outlineLevel="0" r="57" s="52">
      <c r="A57" s="34" t="n">
        <f aca="false">VLOOKUP(B57,['file:///Users/user/Downloads/10. MUSI BOSA CORTE 31 DE DICIEMBRE 2016_INSUMO CONTRALORIA.xls']Hoja2!$B$47:$C$66,2,0)</f>
        <v>7</v>
      </c>
      <c r="B57" s="35" t="s">
        <v>43</v>
      </c>
      <c r="C57" s="34" t="n">
        <f aca="false">VLOOKUP(E57,['file:///Users/user/Downloads/10. MUSI BOSA CORTE 31 DE DICIEMBRE 2016_INSUMO CONTRALORIA.xls']Hoja2!$B$8:$C$10,2,0)</f>
        <v>3</v>
      </c>
      <c r="D57" s="34" t="s">
        <v>361</v>
      </c>
      <c r="E57" s="36" t="s">
        <v>290</v>
      </c>
      <c r="F57" s="34" t="n">
        <f aca="false">VLOOKUP(G57,['file:///Users/user/Downloads/10. MUSI BOSA CORTE 31 DE DICIEMBRE 2016_INSUMO CONTRALORIA.xls']Hoja2!$B$12:$C$40,2,0)</f>
        <v>24</v>
      </c>
      <c r="G57" s="36" t="s">
        <v>291</v>
      </c>
      <c r="H57" s="37" t="n">
        <v>378</v>
      </c>
      <c r="I57" s="36" t="s">
        <v>315</v>
      </c>
      <c r="J57" s="38" t="str">
        <f aca="false">VLOOKUP(K57,['file:///Users/user/Downloads/10. MUSI BOSA CORTE 31 DE DICIEMBRE 2016_INSUMO CONTRALORIA.xls']Hoja1!$D$81:$G$158,2,0)</f>
        <v>N/A</v>
      </c>
      <c r="K57" s="39" t="s">
        <v>196</v>
      </c>
      <c r="L57" s="38" t="n">
        <v>848</v>
      </c>
      <c r="M57" s="39" t="s">
        <v>294</v>
      </c>
      <c r="N57" s="38" t="n">
        <v>8</v>
      </c>
      <c r="O57" s="39" t="s">
        <v>49</v>
      </c>
      <c r="P57" s="40" t="n">
        <v>1</v>
      </c>
      <c r="Q57" s="36" t="s">
        <v>316</v>
      </c>
      <c r="R57" s="36" t="s">
        <v>317</v>
      </c>
      <c r="S57" s="39" t="str">
        <f aca="false">VLOOKUP(K57,['file:///Users/user/Downloads/10. MUSI BOSA CORTE 31 DE DICIEMBRE 2016_INSUMO CONTRALORIA.xls']Hoja1!$D$81:$G$158,4,0)</f>
        <v>N/A</v>
      </c>
      <c r="T57" s="39" t="str">
        <f aca="false">VLOOKUP(K57,['file:///Users/user/Downloads/10. MUSI BOSA CORTE 31 DE DICIEMBRE 2016_INSUMO CONTRALORIA.xls']Hoja1!$D$81:$G$158,3,0)</f>
        <v>N/A</v>
      </c>
      <c r="U57" s="35" t="s">
        <v>52</v>
      </c>
      <c r="V57" s="41" t="n">
        <v>1</v>
      </c>
      <c r="W57" s="42" t="n">
        <f aca="false">AK57/P57</f>
        <v>1</v>
      </c>
      <c r="X57" s="42" t="n">
        <f aca="false">V57*W57</f>
        <v>1</v>
      </c>
      <c r="Y57" s="42" t="n">
        <f aca="false">AP57/P57</f>
        <v>1</v>
      </c>
      <c r="Z57" s="42" t="n">
        <f aca="false">Y57*V57</f>
        <v>1</v>
      </c>
      <c r="AA57" s="38" t="n">
        <v>0</v>
      </c>
      <c r="AB57" s="40"/>
      <c r="AC57" s="40"/>
      <c r="AD57" s="40"/>
      <c r="AE57" s="40"/>
      <c r="AF57" s="40" t="n">
        <f aca="false">SI(U57="Constante";PROMEDIO(AB57;AC57;AD57;AE57);SI(U57="Suma";SUMA(AB57;AC57;AD57;AE57);0))</f>
        <v>0</v>
      </c>
      <c r="AG57" s="40" t="n">
        <v>0</v>
      </c>
      <c r="AH57" s="40" t="n">
        <v>1</v>
      </c>
      <c r="AI57" s="43" t="n">
        <v>0</v>
      </c>
      <c r="AJ57" s="44" t="n">
        <v>0</v>
      </c>
      <c r="AK57" s="40" t="n">
        <f aca="false">SI(U57="Constante";PROMEDIO(AG57;AH57;AI57;AJ57);SI(U57="Suma";SUMA(AG57;AH57;AI57;AJ57);0))</f>
        <v>1</v>
      </c>
      <c r="AL57" s="40" t="n">
        <v>0</v>
      </c>
      <c r="AM57" s="43" t="n">
        <v>1</v>
      </c>
      <c r="AN57" s="45" t="n">
        <v>0</v>
      </c>
      <c r="AO57" s="45" t="n">
        <v>0</v>
      </c>
      <c r="AP57" s="40" t="n">
        <f aca="false">SI(U57="Constante";PROMEDIO(AL57;AM57;AN57;AO57);SI(U57="Suma";SUMA(AL57;AM57;AN57;AO57);0))</f>
        <v>1</v>
      </c>
      <c r="AQ57" s="46" t="n">
        <v>0</v>
      </c>
      <c r="AR57" s="46" t="n">
        <v>290340064</v>
      </c>
      <c r="AS57" s="46" t="n">
        <v>0</v>
      </c>
      <c r="AT57" s="47" t="n">
        <v>0</v>
      </c>
      <c r="AU57" s="46" t="n">
        <f aca="false">SUMA(AQ57:AT57)</f>
        <v>290340064</v>
      </c>
      <c r="AV57" s="46" t="n">
        <v>0</v>
      </c>
      <c r="AW57" s="46" t="n">
        <v>0</v>
      </c>
      <c r="AX57" s="46" t="n">
        <v>0</v>
      </c>
      <c r="AY57" s="47" t="n">
        <v>0</v>
      </c>
      <c r="AZ57" s="48" t="n">
        <f aca="false">SUMA(AV57:AY57)</f>
        <v>0</v>
      </c>
      <c r="BA57" s="49"/>
      <c r="BB57" s="49"/>
      <c r="BC57" s="49" t="s">
        <v>65</v>
      </c>
      <c r="BD57" s="51"/>
    </row>
    <row collapsed="false" customFormat="true" customHeight="true" hidden="false" ht="37.5" outlineLevel="0" r="58" s="52">
      <c r="A58" s="34" t="n">
        <f aca="false">VLOOKUP(B58,['file:///Users/user/Downloads/10. MUSI BOSA CORTE 31 DE DICIEMBRE 2016_INSUMO CONTRALORIA.xls']Hoja2!$B$47:$C$66,2,0)</f>
        <v>7</v>
      </c>
      <c r="B58" s="35" t="s">
        <v>43</v>
      </c>
      <c r="C58" s="34" t="n">
        <f aca="false">VLOOKUP(E58,['file:///Users/user/Downloads/10. MUSI BOSA CORTE 31 DE DICIEMBRE 2016_INSUMO CONTRALORIA.xls']Hoja2!$B$8:$C$10,2,0)</f>
        <v>3</v>
      </c>
      <c r="D58" s="34" t="s">
        <v>361</v>
      </c>
      <c r="E58" s="36" t="s">
        <v>290</v>
      </c>
      <c r="F58" s="34" t="n">
        <f aca="false">VLOOKUP(G58,['file:///Users/user/Downloads/10. MUSI BOSA CORTE 31 DE DICIEMBRE 2016_INSUMO CONTRALORIA.xls']Hoja2!$B$12:$C$40,2,0)</f>
        <v>24</v>
      </c>
      <c r="G58" s="36" t="s">
        <v>291</v>
      </c>
      <c r="H58" s="37" t="n">
        <v>379</v>
      </c>
      <c r="I58" s="36" t="s">
        <v>318</v>
      </c>
      <c r="J58" s="38" t="n">
        <f aca="false">VLOOKUP(K58,['file:///Users/user/Downloads/10. MUSI BOSA CORTE 31 DE DICIEMBRE 2016_INSUMO CONTRALORIA.xls']Hoja1!$D$81:$G$158,2,0)</f>
        <v>66</v>
      </c>
      <c r="K58" s="39" t="s">
        <v>319</v>
      </c>
      <c r="L58" s="38" t="n">
        <v>848</v>
      </c>
      <c r="M58" s="39" t="s">
        <v>294</v>
      </c>
      <c r="N58" s="38" t="n">
        <v>2</v>
      </c>
      <c r="O58" s="39" t="s">
        <v>320</v>
      </c>
      <c r="P58" s="40" t="n">
        <v>1</v>
      </c>
      <c r="Q58" s="36" t="s">
        <v>321</v>
      </c>
      <c r="R58" s="36" t="s">
        <v>322</v>
      </c>
      <c r="S58" s="39" t="str">
        <f aca="false">VLOOKUP(K58,['file:///Users/user/Downloads/10. MUSI BOSA CORTE 31 DE DICIEMBRE 2016_INSUMO CONTRALORIA.xls']Hoja1!$D$81:$G$158,4,0)</f>
        <v>5. GOBIERNO </v>
      </c>
      <c r="T58" s="39" t="str">
        <f aca="false">VLOOKUP(K58,['file:///Users/user/Downloads/10. MUSI BOSA CORTE 31 DE DICIEMBRE 2016_INSUMO CONTRALORIA.xls']Hoja1!$D$81:$G$158,3,0)</f>
        <v>Espacios y procesos de participación ciudadana fortalecidos </v>
      </c>
      <c r="U58" s="35" t="s">
        <v>52</v>
      </c>
      <c r="V58" s="41" t="n">
        <v>1</v>
      </c>
      <c r="W58" s="42" t="n">
        <f aca="false">AK58/P58</f>
        <v>1</v>
      </c>
      <c r="X58" s="42" t="n">
        <f aca="false">V58*W58</f>
        <v>1</v>
      </c>
      <c r="Y58" s="42" t="n">
        <f aca="false">AP58/P58</f>
        <v>1</v>
      </c>
      <c r="Z58" s="42" t="n">
        <f aca="false">Y58*V58</f>
        <v>1</v>
      </c>
      <c r="AA58" s="38" t="n">
        <v>1</v>
      </c>
      <c r="AB58" s="40" t="n">
        <v>1</v>
      </c>
      <c r="AC58" s="40" t="n">
        <v>0</v>
      </c>
      <c r="AD58" s="40" t="n">
        <v>0</v>
      </c>
      <c r="AE58" s="40" t="n">
        <v>0</v>
      </c>
      <c r="AF58" s="40" t="n">
        <f aca="false">SI(U58="Constante";PROMEDIO(AB58;AC58;AD58;AE58);SI(U58="Suma";SUMA(AB58;AC58;AD58;AE58);0))</f>
        <v>1</v>
      </c>
      <c r="AG58" s="40" t="n">
        <v>0</v>
      </c>
      <c r="AH58" s="40" t="n">
        <v>1</v>
      </c>
      <c r="AI58" s="43" t="n">
        <v>0</v>
      </c>
      <c r="AJ58" s="44" t="n">
        <v>0</v>
      </c>
      <c r="AK58" s="40" t="n">
        <f aca="false">SI(U58="Constante";PROMEDIO(AG58;AH58;AI58;AJ58);SI(U58="Suma";SUMA(AG58;AH58;AI58;AJ58);0))</f>
        <v>1</v>
      </c>
      <c r="AL58" s="40" t="n">
        <v>0</v>
      </c>
      <c r="AM58" s="43" t="n">
        <v>1</v>
      </c>
      <c r="AN58" s="45" t="n">
        <v>0</v>
      </c>
      <c r="AO58" s="45" t="n">
        <v>0</v>
      </c>
      <c r="AP58" s="40" t="n">
        <f aca="false">SI(U58="Constante";PROMEDIO(AL58;AM58;AN58;AO58);SI(U58="Suma";SUMA(AL58;AM58;AN58;AO58);0))</f>
        <v>1</v>
      </c>
      <c r="AQ58" s="46" t="n">
        <v>0</v>
      </c>
      <c r="AR58" s="46" t="n">
        <v>179998496</v>
      </c>
      <c r="AS58" s="46" t="n">
        <v>0</v>
      </c>
      <c r="AT58" s="47" t="n">
        <v>0</v>
      </c>
      <c r="AU58" s="46" t="n">
        <f aca="false">SUMA(AQ58:AT58)</f>
        <v>179998496</v>
      </c>
      <c r="AV58" s="46" t="n">
        <v>0</v>
      </c>
      <c r="AW58" s="46" t="n">
        <v>0</v>
      </c>
      <c r="AX58" s="46" t="n">
        <v>0</v>
      </c>
      <c r="AY58" s="47" t="n">
        <v>0</v>
      </c>
      <c r="AZ58" s="48" t="n">
        <f aca="false">SUMA(AV58:AY58)</f>
        <v>0</v>
      </c>
      <c r="BA58" s="49"/>
      <c r="BB58" s="49"/>
      <c r="BC58" s="49" t="s">
        <v>65</v>
      </c>
      <c r="BD58" s="51"/>
    </row>
    <row collapsed="false" customFormat="true" customHeight="true" hidden="false" ht="37.5" outlineLevel="0" r="59" s="52">
      <c r="A59" s="34" t="n">
        <f aca="false">VLOOKUP(B59,['file:///Users/user/Downloads/10. MUSI BOSA CORTE 31 DE DICIEMBRE 2016_INSUMO CONTRALORIA.xls']Hoja2!$B$47:$C$66,2,0)</f>
        <v>7</v>
      </c>
      <c r="B59" s="35" t="s">
        <v>43</v>
      </c>
      <c r="C59" s="34" t="n">
        <f aca="false">VLOOKUP(E59,['file:///Users/user/Downloads/10. MUSI BOSA CORTE 31 DE DICIEMBRE 2016_INSUMO CONTRALORIA.xls']Hoja2!$B$8:$C$10,2,0)</f>
        <v>3</v>
      </c>
      <c r="D59" s="34" t="s">
        <v>361</v>
      </c>
      <c r="E59" s="36" t="s">
        <v>290</v>
      </c>
      <c r="F59" s="34" t="n">
        <f aca="false">VLOOKUP(G59,['file:///Users/user/Downloads/10. MUSI BOSA CORTE 31 DE DICIEMBRE 2016_INSUMO CONTRALORIA.xls']Hoja2!$B$12:$C$40,2,0)</f>
        <v>24</v>
      </c>
      <c r="G59" s="36" t="s">
        <v>291</v>
      </c>
      <c r="H59" s="37" t="n">
        <v>380</v>
      </c>
      <c r="I59" s="36" t="s">
        <v>323</v>
      </c>
      <c r="J59" s="38" t="n">
        <f aca="false">VLOOKUP(K59,['file:///Users/user/Downloads/10. MUSI BOSA CORTE 31 DE DICIEMBRE 2016_INSUMO CONTRALORIA.xls']Hoja1!$D$81:$G$158,2,0)</f>
        <v>62</v>
      </c>
      <c r="K59" s="39" t="s">
        <v>324</v>
      </c>
      <c r="L59" s="38" t="n">
        <v>848</v>
      </c>
      <c r="M59" s="39" t="s">
        <v>294</v>
      </c>
      <c r="N59" s="38" t="n">
        <v>5</v>
      </c>
      <c r="O59" s="39" t="s">
        <v>56</v>
      </c>
      <c r="P59" s="40" t="n">
        <v>2000</v>
      </c>
      <c r="Q59" s="36" t="s">
        <v>325</v>
      </c>
      <c r="R59" s="97" t="s">
        <v>326</v>
      </c>
      <c r="S59" s="39" t="str">
        <f aca="false">VLOOKUP(K59,['file:///Users/user/Downloads/10. MUSI BOSA CORTE 31 DE DICIEMBRE 2016_INSUMO CONTRALORIA.xls']Hoja1!$D$81:$G$158,4,0)</f>
        <v>10. SDIS</v>
      </c>
      <c r="T59" s="39" t="str">
        <f aca="false">VLOOKUP(K59,['file:///Users/user/Downloads/10. MUSI BOSA CORTE 31 DE DICIEMBRE 2016_INSUMO CONTRALORIA.xls']Hoja1!$D$81:$G$158,3,0)</f>
        <v>Espacios y procesos de participación ciudadana fortalecidos </v>
      </c>
      <c r="U59" s="35" t="s">
        <v>52</v>
      </c>
      <c r="V59" s="41" t="n">
        <v>1</v>
      </c>
      <c r="W59" s="42" t="n">
        <f aca="false">AK59/P59</f>
        <v>0.9</v>
      </c>
      <c r="X59" s="42" t="n">
        <f aca="false">V59*W59</f>
        <v>0.9</v>
      </c>
      <c r="Y59" s="42" t="n">
        <f aca="false">AP59/P59</f>
        <v>0.8</v>
      </c>
      <c r="Z59" s="42" t="n">
        <f aca="false">Y59*V59</f>
        <v>0.8</v>
      </c>
      <c r="AA59" s="38" t="n">
        <v>0</v>
      </c>
      <c r="AB59" s="40" t="n">
        <v>500</v>
      </c>
      <c r="AC59" s="40" t="n">
        <v>500</v>
      </c>
      <c r="AD59" s="40" t="n">
        <v>500</v>
      </c>
      <c r="AE59" s="40" t="n">
        <v>500</v>
      </c>
      <c r="AF59" s="40" t="n">
        <f aca="false">SI(U59="Constante";PROMEDIO(AB59;AC59;AD59;AE59);SI(U59="Suma";SUMA(AB59;AC59;AD59;AE59);0))</f>
        <v>2000</v>
      </c>
      <c r="AG59" s="40" t="n">
        <f aca="false">250+250</f>
        <v>500</v>
      </c>
      <c r="AH59" s="40" t="n">
        <v>1250</v>
      </c>
      <c r="AI59" s="43" t="n">
        <v>50</v>
      </c>
      <c r="AJ59" s="44" t="n">
        <v>0</v>
      </c>
      <c r="AK59" s="40" t="n">
        <f aca="false">SI(U59="Constante";PROMEDIO(AG59;AH59;AI59;AJ59);SI(U59="Suma";SUMA(AG59;AH59;AI59;AJ59);0))</f>
        <v>1800</v>
      </c>
      <c r="AL59" s="40" t="n">
        <v>500</v>
      </c>
      <c r="AM59" s="43" t="n">
        <f aca="false">100+1000</f>
        <v>1100</v>
      </c>
      <c r="AN59" s="98" t="n">
        <v>0</v>
      </c>
      <c r="AO59" s="45" t="n">
        <v>0</v>
      </c>
      <c r="AP59" s="40" t="n">
        <f aca="false">SI(U59="Constante";PROMEDIO(AL59;AM59;AN59;AO59);SI(U59="Suma";SUMA(AL59;AM59;AN59;AO59);0))</f>
        <v>1600</v>
      </c>
      <c r="AQ59" s="46" t="n">
        <v>235542241</v>
      </c>
      <c r="AR59" s="46" t="n">
        <v>255575000</v>
      </c>
      <c r="AS59" s="46" t="n">
        <v>40318496</v>
      </c>
      <c r="AT59" s="47" t="n">
        <v>0</v>
      </c>
      <c r="AU59" s="46" t="n">
        <f aca="false">SUMA(AQ59:AT59)</f>
        <v>531435737</v>
      </c>
      <c r="AV59" s="46" t="n">
        <f aca="false">24000000+96000000</f>
        <v>120000000</v>
      </c>
      <c r="AW59" s="46" t="n">
        <v>188180000</v>
      </c>
      <c r="AX59" s="46" t="n">
        <v>0</v>
      </c>
      <c r="AY59" s="47" t="n">
        <v>0</v>
      </c>
      <c r="AZ59" s="48" t="n">
        <f aca="false">SUMA(AV59:AY59)</f>
        <v>308180000</v>
      </c>
      <c r="BA59" s="49"/>
      <c r="BB59" s="49"/>
      <c r="BC59" s="49" t="s">
        <v>65</v>
      </c>
      <c r="BD59" s="51" t="s">
        <v>327</v>
      </c>
    </row>
    <row collapsed="false" customFormat="true" customHeight="true" hidden="false" ht="37.5" outlineLevel="0" r="60" s="52">
      <c r="A60" s="34" t="n">
        <f aca="false">VLOOKUP(B60,['file:///Users/user/Downloads/10. MUSI BOSA CORTE 31 DE DICIEMBRE 2016_INSUMO CONTRALORIA.xls']Hoja2!$B$47:$C$66,2,0)</f>
        <v>7</v>
      </c>
      <c r="B60" s="35" t="s">
        <v>43</v>
      </c>
      <c r="C60" s="34" t="n">
        <f aca="false">VLOOKUP(E60,['file:///Users/user/Downloads/10. MUSI BOSA CORTE 31 DE DICIEMBRE 2016_INSUMO CONTRALORIA.xls']Hoja2!$B$8:$C$10,2,0)</f>
        <v>3</v>
      </c>
      <c r="D60" s="34" t="s">
        <v>361</v>
      </c>
      <c r="E60" s="36" t="s">
        <v>290</v>
      </c>
      <c r="F60" s="34" t="n">
        <f aca="false">VLOOKUP(G60,['file:///Users/user/Downloads/10. MUSI BOSA CORTE 31 DE DICIEMBRE 2016_INSUMO CONTRALORIA.xls']Hoja2!$B$12:$C$40,2,0)</f>
        <v>25</v>
      </c>
      <c r="G60" s="36" t="s">
        <v>328</v>
      </c>
      <c r="H60" s="37" t="n">
        <v>381</v>
      </c>
      <c r="I60" s="36" t="s">
        <v>329</v>
      </c>
      <c r="J60" s="38" t="n">
        <f aca="false">VLOOKUP(K60,['file:///Users/user/Downloads/10. MUSI BOSA CORTE 31 DE DICIEMBRE 2016_INSUMO CONTRALORIA.xls']Hoja1!$D$81:$G$158,2,0)</f>
        <v>69</v>
      </c>
      <c r="K60" s="39" t="s">
        <v>102</v>
      </c>
      <c r="L60" s="38" t="n">
        <v>850</v>
      </c>
      <c r="M60" s="39" t="s">
        <v>330</v>
      </c>
      <c r="N60" s="38" t="n">
        <v>2</v>
      </c>
      <c r="O60" s="39" t="s">
        <v>56</v>
      </c>
      <c r="P60" s="40" t="n">
        <v>1000</v>
      </c>
      <c r="Q60" s="36" t="s">
        <v>63</v>
      </c>
      <c r="R60" s="36" t="s">
        <v>331</v>
      </c>
      <c r="S60" s="39" t="str">
        <f aca="false">VLOOKUP(K60,['file:///Users/user/Downloads/10. MUSI BOSA CORTE 31 DE DICIEMBRE 2016_INSUMO CONTRALORIA.xls']Hoja1!$D$81:$G$158,4,0)</f>
        <v>5. GOBIERNO </v>
      </c>
      <c r="T60" s="39" t="str">
        <f aca="false">VLOOKUP(K60,['file:///Users/user/Downloads/10. MUSI BOSA CORTE 31 DE DICIEMBRE 2016_INSUMO CONTRALORIA.xls']Hoja1!$D$81:$G$158,3,0)</f>
        <v>Prevención, atención y gestión del conflicto en la localidad</v>
      </c>
      <c r="U60" s="35" t="s">
        <v>52</v>
      </c>
      <c r="V60" s="41" t="n">
        <v>1</v>
      </c>
      <c r="W60" s="42" t="n">
        <f aca="false">AK60/P60</f>
        <v>2.035</v>
      </c>
      <c r="X60" s="42" t="n">
        <f aca="false">V60*W60</f>
        <v>2.035</v>
      </c>
      <c r="Y60" s="42" t="n">
        <f aca="false">AP60/P60</f>
        <v>2.035</v>
      </c>
      <c r="Z60" s="42" t="n">
        <f aca="false">Y60*V60</f>
        <v>2.035</v>
      </c>
      <c r="AA60" s="38" t="n">
        <v>0</v>
      </c>
      <c r="AB60" s="40" t="n">
        <v>250</v>
      </c>
      <c r="AC60" s="40" t="n">
        <v>250</v>
      </c>
      <c r="AD60" s="40" t="n">
        <v>250</v>
      </c>
      <c r="AE60" s="40" t="n">
        <v>250</v>
      </c>
      <c r="AF60" s="40" t="n">
        <f aca="false">SI(U60="Constante";PROMEDIO(AB60;AC60;AD60;AE60);SI(U60="Suma";SUMA(AB60;AC60;AD60;AE60);0))</f>
        <v>1000</v>
      </c>
      <c r="AG60" s="40" t="n">
        <v>2000</v>
      </c>
      <c r="AH60" s="40" t="n">
        <v>35</v>
      </c>
      <c r="AI60" s="43" t="n">
        <v>0</v>
      </c>
      <c r="AJ60" s="44" t="n">
        <v>0</v>
      </c>
      <c r="AK60" s="40" t="n">
        <f aca="false">SI(U60="Constante";PROMEDIO(AG60;AH60;AI60;AJ60);SI(U60="Suma";SUMA(AG60;AH60;AI60;AJ60);0))</f>
        <v>2035</v>
      </c>
      <c r="AL60" s="40" t="n">
        <v>2000</v>
      </c>
      <c r="AM60" s="43" t="n">
        <v>35</v>
      </c>
      <c r="AN60" s="45" t="n">
        <v>0</v>
      </c>
      <c r="AO60" s="45" t="n">
        <v>0</v>
      </c>
      <c r="AP60" s="40" t="n">
        <f aca="false">SI(U60="Constante";PROMEDIO(AL60;AM60;AN60;AO60);SI(U60="Suma";SUMA(AL60;AM60;AN60;AO60);0))</f>
        <v>2035</v>
      </c>
      <c r="AQ60" s="46" t="n">
        <v>104288000</v>
      </c>
      <c r="AR60" s="46" t="n">
        <v>186964459</v>
      </c>
      <c r="AS60" s="46" t="n">
        <v>0</v>
      </c>
      <c r="AT60" s="47" t="n">
        <v>0</v>
      </c>
      <c r="AU60" s="46" t="n">
        <f aca="false">SUMA(AQ60:AT60)</f>
        <v>291252459</v>
      </c>
      <c r="AV60" s="46" t="n">
        <v>0</v>
      </c>
      <c r="AW60" s="46" t="n">
        <v>0</v>
      </c>
      <c r="AX60" s="46" t="n">
        <v>0</v>
      </c>
      <c r="AY60" s="47" t="n">
        <v>0</v>
      </c>
      <c r="AZ60" s="48" t="n">
        <f aca="false">SUMA(AV60:AY60)</f>
        <v>0</v>
      </c>
      <c r="BA60" s="49"/>
      <c r="BB60" s="49"/>
      <c r="BC60" s="49" t="s">
        <v>65</v>
      </c>
      <c r="BD60" s="51"/>
    </row>
    <row collapsed="false" customFormat="true" customHeight="true" hidden="false" ht="37.5" outlineLevel="0" r="61" s="52">
      <c r="A61" s="34" t="n">
        <f aca="false">VLOOKUP(B61,['file:///Users/user/Downloads/10. MUSI BOSA CORTE 31 DE DICIEMBRE 2016_INSUMO CONTRALORIA.xls']Hoja2!$B$47:$C$66,2,0)</f>
        <v>7</v>
      </c>
      <c r="B61" s="35" t="s">
        <v>43</v>
      </c>
      <c r="C61" s="34" t="n">
        <f aca="false">VLOOKUP(E61,['file:///Users/user/Downloads/10. MUSI BOSA CORTE 31 DE DICIEMBRE 2016_INSUMO CONTRALORIA.xls']Hoja2!$B$8:$C$10,2,0)</f>
        <v>3</v>
      </c>
      <c r="D61" s="34" t="s">
        <v>361</v>
      </c>
      <c r="E61" s="36" t="s">
        <v>290</v>
      </c>
      <c r="F61" s="34" t="n">
        <f aca="false">VLOOKUP(G61,['file:///Users/user/Downloads/10. MUSI BOSA CORTE 31 DE DICIEMBRE 2016_INSUMO CONTRALORIA.xls']Hoja2!$B$12:$C$40,2,0)</f>
        <v>25</v>
      </c>
      <c r="G61" s="36" t="s">
        <v>328</v>
      </c>
      <c r="H61" s="37" t="n">
        <v>382</v>
      </c>
      <c r="I61" s="36" t="s">
        <v>332</v>
      </c>
      <c r="J61" s="38" t="n">
        <f aca="false">VLOOKUP(K61,['file:///Users/user/Downloads/10. MUSI BOSA CORTE 31 DE DICIEMBRE 2016_INSUMO CONTRALORIA.xls']Hoja1!$D$81:$G$158,2,0)</f>
        <v>69</v>
      </c>
      <c r="K61" s="39" t="s">
        <v>102</v>
      </c>
      <c r="L61" s="38" t="n">
        <v>850</v>
      </c>
      <c r="M61" s="39" t="s">
        <v>330</v>
      </c>
      <c r="N61" s="38" t="n">
        <v>3</v>
      </c>
      <c r="O61" s="39" t="s">
        <v>56</v>
      </c>
      <c r="P61" s="40" t="n">
        <v>1000</v>
      </c>
      <c r="Q61" s="36" t="s">
        <v>63</v>
      </c>
      <c r="R61" s="36" t="s">
        <v>333</v>
      </c>
      <c r="S61" s="39" t="str">
        <f aca="false">VLOOKUP(K61,['file:///Users/user/Downloads/10. MUSI BOSA CORTE 31 DE DICIEMBRE 2016_INSUMO CONTRALORIA.xls']Hoja1!$D$81:$G$158,4,0)</f>
        <v>5. GOBIERNO </v>
      </c>
      <c r="T61" s="39" t="str">
        <f aca="false">VLOOKUP(K61,['file:///Users/user/Downloads/10. MUSI BOSA CORTE 31 DE DICIEMBRE 2016_INSUMO CONTRALORIA.xls']Hoja1!$D$81:$G$158,3,0)</f>
        <v>Prevención, atención y gestión del conflicto en la localidad</v>
      </c>
      <c r="U61" s="35" t="s">
        <v>52</v>
      </c>
      <c r="V61" s="41" t="n">
        <v>1</v>
      </c>
      <c r="W61" s="42" t="n">
        <f aca="false">AK61/P61</f>
        <v>1.55</v>
      </c>
      <c r="X61" s="42" t="n">
        <f aca="false">V61*W61</f>
        <v>1.55</v>
      </c>
      <c r="Y61" s="42" t="n">
        <f aca="false">AP61/P61</f>
        <v>0.5</v>
      </c>
      <c r="Z61" s="42" t="n">
        <f aca="false">Y61*V61</f>
        <v>0.5</v>
      </c>
      <c r="AA61" s="38" t="n">
        <v>0</v>
      </c>
      <c r="AB61" s="40" t="n">
        <v>250</v>
      </c>
      <c r="AC61" s="40" t="n">
        <v>250</v>
      </c>
      <c r="AD61" s="40" t="n">
        <v>250</v>
      </c>
      <c r="AE61" s="40" t="n">
        <v>250</v>
      </c>
      <c r="AF61" s="40" t="n">
        <f aca="false">SI(U61="Constante";PROMEDIO(AB61;AC61;AD61;AE61);SI(U61="Suma";SUMA(AB61;AC61;AD61;AE61);0))</f>
        <v>1000</v>
      </c>
      <c r="AG61" s="40" t="n">
        <v>250</v>
      </c>
      <c r="AH61" s="40" t="n">
        <v>250</v>
      </c>
      <c r="AI61" s="43" t="n">
        <v>0</v>
      </c>
      <c r="AJ61" s="44" t="n">
        <v>1050</v>
      </c>
      <c r="AK61" s="40" t="n">
        <f aca="false">SI(U61="Constante";PROMEDIO(AG61;AH61;AI61;AJ61);SI(U61="Suma";SUMA(AG61;AH61;AI61;AJ61);0))</f>
        <v>1550</v>
      </c>
      <c r="AL61" s="40" t="n">
        <v>250</v>
      </c>
      <c r="AM61" s="43" t="n">
        <v>250</v>
      </c>
      <c r="AN61" s="45" t="n">
        <v>0</v>
      </c>
      <c r="AO61" s="45" t="n">
        <v>0</v>
      </c>
      <c r="AP61" s="40" t="n">
        <f aca="false">SI(U61="Constante";PROMEDIO(AL61;AM61;AN61;AO61);SI(U61="Suma";SUMA(AL61;AM61;AN61;AO61);0))</f>
        <v>500</v>
      </c>
      <c r="AQ61" s="46" t="n">
        <v>89801568</v>
      </c>
      <c r="AR61" s="46" t="n">
        <v>79325541</v>
      </c>
      <c r="AS61" s="46" t="n">
        <v>0</v>
      </c>
      <c r="AT61" s="47" t="n">
        <v>137838539</v>
      </c>
      <c r="AU61" s="46" t="n">
        <f aca="false">SUMA(AQ61:AT61)</f>
        <v>306965648</v>
      </c>
      <c r="AV61" s="46" t="n">
        <v>0</v>
      </c>
      <c r="AW61" s="46" t="n">
        <v>0</v>
      </c>
      <c r="AX61" s="46" t="n">
        <v>0</v>
      </c>
      <c r="AY61" s="47" t="n">
        <v>0</v>
      </c>
      <c r="AZ61" s="48" t="n">
        <f aca="false">SUMA(AV61:AY61)</f>
        <v>0</v>
      </c>
      <c r="BA61" s="49"/>
      <c r="BB61" s="49"/>
      <c r="BC61" s="49" t="s">
        <v>65</v>
      </c>
      <c r="BD61" s="51"/>
    </row>
    <row collapsed="false" customFormat="true" customHeight="true" hidden="false" ht="37.5" outlineLevel="0" r="62" s="52">
      <c r="A62" s="34" t="n">
        <f aca="false">VLOOKUP(B62,['file:///Users/user/Downloads/10. MUSI BOSA CORTE 31 DE DICIEMBRE 2016_INSUMO CONTRALORIA.xls']Hoja2!$B$47:$C$66,2,0)</f>
        <v>7</v>
      </c>
      <c r="B62" s="35" t="s">
        <v>43</v>
      </c>
      <c r="C62" s="34" t="n">
        <f aca="false">VLOOKUP(E62,['file:///Users/user/Downloads/10. MUSI BOSA CORTE 31 DE DICIEMBRE 2016_INSUMO CONTRALORIA.xls']Hoja2!$B$8:$C$10,2,0)</f>
        <v>3</v>
      </c>
      <c r="D62" s="34" t="s">
        <v>361</v>
      </c>
      <c r="E62" s="36" t="s">
        <v>290</v>
      </c>
      <c r="F62" s="34" t="n">
        <f aca="false">VLOOKUP(G62,['file:///Users/user/Downloads/10. MUSI BOSA CORTE 31 DE DICIEMBRE 2016_INSUMO CONTRALORIA.xls']Hoja2!$B$12:$C$40,2,0)</f>
        <v>25</v>
      </c>
      <c r="G62" s="36" t="s">
        <v>328</v>
      </c>
      <c r="H62" s="37" t="n">
        <v>383</v>
      </c>
      <c r="I62" s="36" t="s">
        <v>334</v>
      </c>
      <c r="J62" s="38" t="n">
        <f aca="false">VLOOKUP(K62,['file:///Users/user/Downloads/10. MUSI BOSA CORTE 31 DE DICIEMBRE 2016_INSUMO CONTRALORIA.xls']Hoja1!$D$81:$G$158,2,0)</f>
        <v>68</v>
      </c>
      <c r="K62" s="39" t="s">
        <v>335</v>
      </c>
      <c r="L62" s="38" t="n">
        <v>850</v>
      </c>
      <c r="M62" s="39" t="s">
        <v>330</v>
      </c>
      <c r="N62" s="38" t="n">
        <v>1</v>
      </c>
      <c r="O62" s="39" t="s">
        <v>56</v>
      </c>
      <c r="P62" s="40" t="n">
        <v>1000</v>
      </c>
      <c r="Q62" s="36" t="s">
        <v>63</v>
      </c>
      <c r="R62" s="36" t="s">
        <v>336</v>
      </c>
      <c r="S62" s="39" t="str">
        <f aca="false">VLOOKUP(K62,['file:///Users/user/Downloads/10. MUSI BOSA CORTE 31 DE DICIEMBRE 2016_INSUMO CONTRALORIA.xls']Hoja1!$D$81:$G$158,4,0)</f>
        <v>5. GOBIERNO </v>
      </c>
      <c r="T62" s="39" t="str">
        <f aca="false">VLOOKUP(K62,['file:///Users/user/Downloads/10. MUSI BOSA CORTE 31 DE DICIEMBRE 2016_INSUMO CONTRALORIA.xls']Hoja1!$D$81:$G$158,3,0)</f>
        <v>Prevención, atención y gestión del conflicto en la localidad</v>
      </c>
      <c r="U62" s="35" t="s">
        <v>52</v>
      </c>
      <c r="V62" s="41" t="n">
        <v>1</v>
      </c>
      <c r="W62" s="42" t="n">
        <f aca="false">AK62/P62</f>
        <v>4.25</v>
      </c>
      <c r="X62" s="42" t="n">
        <f aca="false">V62*W62</f>
        <v>4.25</v>
      </c>
      <c r="Y62" s="42" t="n">
        <f aca="false">AP62/P62</f>
        <v>5.164</v>
      </c>
      <c r="Z62" s="42" t="n">
        <f aca="false">Y62*V62</f>
        <v>5.164</v>
      </c>
      <c r="AA62" s="38" t="n">
        <v>0</v>
      </c>
      <c r="AB62" s="40" t="n">
        <v>250</v>
      </c>
      <c r="AC62" s="40" t="n">
        <v>250</v>
      </c>
      <c r="AD62" s="40" t="n">
        <v>250</v>
      </c>
      <c r="AE62" s="40" t="n">
        <v>250</v>
      </c>
      <c r="AF62" s="40" t="n">
        <f aca="false">SI(U62="Constante";PROMEDIO(AB62;AC62;AD62;AE62);SI(U62="Suma";SUMA(AB62;AC62;AD62;AE62);0))</f>
        <v>1000</v>
      </c>
      <c r="AG62" s="40" t="n">
        <v>2000</v>
      </c>
      <c r="AH62" s="40" t="n">
        <v>1000</v>
      </c>
      <c r="AI62" s="43" t="n">
        <v>1250</v>
      </c>
      <c r="AJ62" s="44" t="n">
        <v>0</v>
      </c>
      <c r="AK62" s="40" t="n">
        <f aca="false">SI(U62="Constante";PROMEDIO(AG62;AH62;AI62;AJ62);SI(U62="Suma";SUMA(AG62;AH62;AI62;AJ62);0))</f>
        <v>4250</v>
      </c>
      <c r="AL62" s="40" t="n">
        <v>2000</v>
      </c>
      <c r="AM62" s="43" t="n">
        <f aca="false">368+1771</f>
        <v>2139</v>
      </c>
      <c r="AN62" s="45" t="n">
        <f aca="false">783+242</f>
        <v>1025</v>
      </c>
      <c r="AO62" s="45" t="n">
        <v>0</v>
      </c>
      <c r="AP62" s="40" t="n">
        <f aca="false">SI(U62="Constante";PROMEDIO(AL62;AM62;AN62;AO62);SI(U62="Suma";SUMA(AL62;AM62;AN62;AO62);0))</f>
        <v>5164</v>
      </c>
      <c r="AQ62" s="46" t="n">
        <v>95000000</v>
      </c>
      <c r="AR62" s="46" t="n">
        <v>1157000000</v>
      </c>
      <c r="AS62" s="46" t="n">
        <v>1384000000</v>
      </c>
      <c r="AT62" s="47" t="n">
        <v>0</v>
      </c>
      <c r="AU62" s="46" t="n">
        <f aca="false">SUMA(AQ62:AT62)</f>
        <v>2636000000</v>
      </c>
      <c r="AV62" s="46" t="n">
        <v>0</v>
      </c>
      <c r="AW62" s="46" t="n">
        <v>0</v>
      </c>
      <c r="AX62" s="46" t="n">
        <f aca="false">745360000</f>
        <v>745360000</v>
      </c>
      <c r="AY62" s="47" t="n">
        <v>0</v>
      </c>
      <c r="AZ62" s="48" t="n">
        <f aca="false">SUMA(AV62:AY62)</f>
        <v>745360000</v>
      </c>
      <c r="BA62" s="49"/>
      <c r="BB62" s="49"/>
      <c r="BC62" s="49" t="s">
        <v>207</v>
      </c>
      <c r="BD62" s="51"/>
    </row>
    <row collapsed="false" customFormat="true" customHeight="true" hidden="false" ht="37.5" outlineLevel="0" r="63" s="52">
      <c r="A63" s="34" t="n">
        <f aca="false">VLOOKUP(B63,['file:///Users/user/Downloads/10. MUSI BOSA CORTE 31 DE DICIEMBRE 2016_INSUMO CONTRALORIA.xls']Hoja2!$B$47:$C$66,2,0)</f>
        <v>7</v>
      </c>
      <c r="B63" s="35" t="s">
        <v>43</v>
      </c>
      <c r="C63" s="34" t="n">
        <f aca="false">VLOOKUP(E63,['file:///Users/user/Downloads/10. MUSI BOSA CORTE 31 DE DICIEMBRE 2016_INSUMO CONTRALORIA.xls']Hoja2!$B$8:$C$10,2,0)</f>
        <v>3</v>
      </c>
      <c r="D63" s="34" t="s">
        <v>361</v>
      </c>
      <c r="E63" s="36" t="s">
        <v>290</v>
      </c>
      <c r="F63" s="34" t="n">
        <f aca="false">VLOOKUP(G63,['file:///Users/user/Downloads/10. MUSI BOSA CORTE 31 DE DICIEMBRE 2016_INSUMO CONTRALORIA.xls']Hoja2!$B$12:$C$40,2,0)</f>
        <v>29</v>
      </c>
      <c r="G63" s="36" t="s">
        <v>337</v>
      </c>
      <c r="H63" s="37" t="n">
        <v>384</v>
      </c>
      <c r="I63" s="36" t="s">
        <v>338</v>
      </c>
      <c r="J63" s="38" t="n">
        <f aca="false">VLOOKUP(K63,['file:///Users/user/Downloads/10. MUSI BOSA CORTE 31 DE DICIEMBRE 2016_INSUMO CONTRALORIA.xls']Hoja1!$D$81:$G$158,2,0)</f>
        <v>69</v>
      </c>
      <c r="K63" s="39" t="s">
        <v>102</v>
      </c>
      <c r="L63" s="38" t="n">
        <v>851</v>
      </c>
      <c r="M63" s="39" t="s">
        <v>339</v>
      </c>
      <c r="N63" s="38" t="n">
        <v>1</v>
      </c>
      <c r="O63" s="39" t="s">
        <v>56</v>
      </c>
      <c r="P63" s="40" t="n">
        <v>4000</v>
      </c>
      <c r="Q63" s="36" t="s">
        <v>63</v>
      </c>
      <c r="R63" s="36" t="s">
        <v>340</v>
      </c>
      <c r="S63" s="39" t="str">
        <f aca="false">VLOOKUP(K63,['file:///Users/user/Downloads/10. MUSI BOSA CORTE 31 DE DICIEMBRE 2016_INSUMO CONTRALORIA.xls']Hoja1!$D$81:$G$158,4,0)</f>
        <v>5. GOBIERNO </v>
      </c>
      <c r="T63" s="39" t="str">
        <f aca="false">VLOOKUP(K63,['file:///Users/user/Downloads/10. MUSI BOSA CORTE 31 DE DICIEMBRE 2016_INSUMO CONTRALORIA.xls']Hoja1!$D$81:$G$158,3,0)</f>
        <v>Prevención, atención y gestión del conflicto en la localidad</v>
      </c>
      <c r="U63" s="35" t="s">
        <v>52</v>
      </c>
      <c r="V63" s="41" t="n">
        <v>1</v>
      </c>
      <c r="W63" s="42" t="n">
        <f aca="false">AK63/P63</f>
        <v>0.625</v>
      </c>
      <c r="X63" s="42" t="n">
        <f aca="false">V63*W63</f>
        <v>0.625</v>
      </c>
      <c r="Y63" s="42" t="n">
        <f aca="false">AP63/P63</f>
        <v>0.375</v>
      </c>
      <c r="Z63" s="42" t="n">
        <f aca="false">Y63*V63</f>
        <v>0.375</v>
      </c>
      <c r="AA63" s="38" t="n">
        <v>0</v>
      </c>
      <c r="AB63" s="40" t="n">
        <v>0</v>
      </c>
      <c r="AC63" s="40" t="n">
        <v>2000</v>
      </c>
      <c r="AD63" s="40" t="n">
        <v>1000</v>
      </c>
      <c r="AE63" s="40" t="n">
        <v>1000</v>
      </c>
      <c r="AF63" s="40" t="n">
        <f aca="false">SI(U63="Constante";PROMEDIO(AB63;AC63;AD63;AE63);SI(U63="Suma";SUMA(AB63;AC63;AD63;AE63);0))</f>
        <v>4000</v>
      </c>
      <c r="AG63" s="40" t="n">
        <v>0</v>
      </c>
      <c r="AH63" s="40" t="n">
        <v>1000</v>
      </c>
      <c r="AI63" s="43" t="n">
        <v>500</v>
      </c>
      <c r="AJ63" s="44" t="n">
        <v>1000</v>
      </c>
      <c r="AK63" s="40" t="n">
        <f aca="false">SI(U63="Constante";PROMEDIO(AG63;AH63;AI63;AJ63);SI(U63="Suma";SUMA(AG63;AH63;AI63;AJ63);0))</f>
        <v>2500</v>
      </c>
      <c r="AL63" s="40" t="n">
        <v>0</v>
      </c>
      <c r="AM63" s="43" t="n">
        <v>1000</v>
      </c>
      <c r="AN63" s="45" t="n">
        <v>500</v>
      </c>
      <c r="AO63" s="45" t="n">
        <v>0</v>
      </c>
      <c r="AP63" s="40" t="n">
        <f aca="false">SI(U63="Constante";PROMEDIO(AL63;AM63;AN63;AO63);SI(U63="Suma";SUMA(AL63;AM63;AN63;AO63);0))</f>
        <v>1500</v>
      </c>
      <c r="AQ63" s="46" t="n">
        <v>0</v>
      </c>
      <c r="AR63" s="46" t="n">
        <v>147750000</v>
      </c>
      <c r="AS63" s="46" t="n">
        <v>69653000</v>
      </c>
      <c r="AT63" s="47" t="n">
        <v>289359170</v>
      </c>
      <c r="AU63" s="46" t="n">
        <f aca="false">SUMA(AQ63:AT63)</f>
        <v>506762170</v>
      </c>
      <c r="AV63" s="46" t="n">
        <v>0</v>
      </c>
      <c r="AW63" s="46" t="n">
        <v>0</v>
      </c>
      <c r="AX63" s="46" t="n">
        <v>69653000</v>
      </c>
      <c r="AY63" s="47" t="n">
        <v>0</v>
      </c>
      <c r="AZ63" s="48" t="n">
        <f aca="false">SUMA(AV63:AY63)</f>
        <v>69653000</v>
      </c>
      <c r="BA63" s="49"/>
      <c r="BB63" s="49"/>
      <c r="BC63" s="49" t="s">
        <v>65</v>
      </c>
      <c r="BD63" s="51"/>
    </row>
    <row collapsed="false" customFormat="true" customHeight="true" hidden="false" ht="37.5" outlineLevel="0" r="64" s="52">
      <c r="A64" s="34" t="n">
        <f aca="false">VLOOKUP(B64,['file:///Users/user/Downloads/10. MUSI BOSA CORTE 31 DE DICIEMBRE 2016_INSUMO CONTRALORIA.xls']Hoja2!$B$47:$C$66,2,0)</f>
        <v>7</v>
      </c>
      <c r="B64" s="35" t="s">
        <v>43</v>
      </c>
      <c r="C64" s="34" t="n">
        <f aca="false">VLOOKUP(E64,['file:///Users/user/Downloads/10. MUSI BOSA CORTE 31 DE DICIEMBRE 2016_INSUMO CONTRALORIA.xls']Hoja2!$B$8:$C$10,2,0)</f>
        <v>3</v>
      </c>
      <c r="D64" s="34" t="s">
        <v>361</v>
      </c>
      <c r="E64" s="36" t="s">
        <v>290</v>
      </c>
      <c r="F64" s="34" t="n">
        <f aca="false">VLOOKUP(G64,['file:///Users/user/Downloads/10. MUSI BOSA CORTE 31 DE DICIEMBRE 2016_INSUMO CONTRALORIA.xls']Hoja2!$B$12:$C$40,2,0)</f>
        <v>30</v>
      </c>
      <c r="G64" s="36" t="s">
        <v>341</v>
      </c>
      <c r="H64" s="37" t="n">
        <v>385</v>
      </c>
      <c r="I64" s="36" t="s">
        <v>342</v>
      </c>
      <c r="J64" s="38" t="n">
        <f aca="false">VLOOKUP(K64,['file:///Users/user/Downloads/10. MUSI BOSA CORTE 31 DE DICIEMBRE 2016_INSUMO CONTRALORIA.xls']Hoja1!$D$81:$G$158,2,0)</f>
        <v>67</v>
      </c>
      <c r="K64" s="39" t="s">
        <v>343</v>
      </c>
      <c r="L64" s="38" t="n">
        <v>852</v>
      </c>
      <c r="M64" s="39" t="s">
        <v>344</v>
      </c>
      <c r="N64" s="38" t="n">
        <v>1</v>
      </c>
      <c r="O64" s="39" t="s">
        <v>56</v>
      </c>
      <c r="P64" s="40" t="n">
        <v>3400</v>
      </c>
      <c r="Q64" s="36" t="s">
        <v>63</v>
      </c>
      <c r="R64" s="36" t="s">
        <v>345</v>
      </c>
      <c r="S64" s="39" t="str">
        <f aca="false">VLOOKUP(K64,['file:///Users/user/Downloads/10. MUSI BOSA CORTE 31 DE DICIEMBRE 2016_INSUMO CONTRALORIA.xls']Hoja1!$D$81:$G$158,4,0)</f>
        <v>9. SALUD</v>
      </c>
      <c r="T64" s="39" t="str">
        <f aca="false">VLOOKUP(K64,['file:///Users/user/Downloads/10. MUSI BOSA CORTE 31 DE DICIEMBRE 2016_INSUMO CONTRALORIA.xls']Hoja1!$D$81:$G$158,3,0)</f>
        <v>Espacios y procesos de participación ciudadana fortalecidos </v>
      </c>
      <c r="U64" s="35" t="s">
        <v>52</v>
      </c>
      <c r="V64" s="41" t="n">
        <v>1</v>
      </c>
      <c r="W64" s="42" t="n">
        <f aca="false">AK64/P64</f>
        <v>1.17441176470588</v>
      </c>
      <c r="X64" s="42" t="n">
        <f aca="false">V64*W64</f>
        <v>1.17441176470588</v>
      </c>
      <c r="Y64" s="42" t="n">
        <f aca="false">AP64/P64</f>
        <v>1.54088235294118</v>
      </c>
      <c r="Z64" s="42" t="n">
        <f aca="false">Y64*V64</f>
        <v>1.54088235294118</v>
      </c>
      <c r="AA64" s="38" t="n">
        <v>0</v>
      </c>
      <c r="AB64" s="40" t="n">
        <v>0</v>
      </c>
      <c r="AC64" s="40" t="n">
        <v>1700</v>
      </c>
      <c r="AD64" s="40" t="n">
        <v>850</v>
      </c>
      <c r="AE64" s="40" t="n">
        <v>850</v>
      </c>
      <c r="AF64" s="40" t="n">
        <f aca="false">SI(U64="Constante";PROMEDIO(AB64;AC64;AD64;AE64);SI(U64="Suma";SUMA(AB64;AC64;AD64;AE64);0))</f>
        <v>3400</v>
      </c>
      <c r="AG64" s="40" t="n">
        <v>0</v>
      </c>
      <c r="AH64" s="40" t="n">
        <v>1500</v>
      </c>
      <c r="AI64" s="43" t="n">
        <f aca="false">390+468+785+50</f>
        <v>1693</v>
      </c>
      <c r="AJ64" s="44" t="n">
        <v>800</v>
      </c>
      <c r="AK64" s="40" t="n">
        <f aca="false">SI(U64="Constante";PROMEDIO(AG64;AH64;AI64;AJ64);SI(U64="Suma";SUMA(AG64;AH64;AI64;AJ64);0))</f>
        <v>3993</v>
      </c>
      <c r="AL64" s="40" t="n">
        <v>0</v>
      </c>
      <c r="AM64" s="43" t="n">
        <f aca="false">1061+1055+700+730</f>
        <v>3546</v>
      </c>
      <c r="AN64" s="45" t="n">
        <v>1693</v>
      </c>
      <c r="AO64" s="45" t="n">
        <v>0</v>
      </c>
      <c r="AP64" s="40" t="n">
        <f aca="false">SI(U64="Constante";PROMEDIO(AL64;AM64;AN64;AO64);SI(U64="Suma";SUMA(AL64;AM64;AN64;AO64);0))</f>
        <v>5239</v>
      </c>
      <c r="AQ64" s="46" t="n">
        <v>0</v>
      </c>
      <c r="AR64" s="46" t="n">
        <v>309412415</v>
      </c>
      <c r="AS64" s="46" t="n">
        <v>149812500</v>
      </c>
      <c r="AT64" s="47" t="n">
        <v>204721166</v>
      </c>
      <c r="AU64" s="46" t="n">
        <f aca="false">SUMA(AQ64:AT64)</f>
        <v>663946081</v>
      </c>
      <c r="AV64" s="46" t="n">
        <v>0</v>
      </c>
      <c r="AW64" s="46" t="n">
        <v>0</v>
      </c>
      <c r="AX64" s="46" t="n">
        <v>129112500</v>
      </c>
      <c r="AY64" s="47" t="n">
        <v>0</v>
      </c>
      <c r="AZ64" s="48" t="n">
        <f aca="false">SUMA(AV64:AY64)</f>
        <v>129112500</v>
      </c>
      <c r="BA64" s="55"/>
      <c r="BB64" s="55"/>
      <c r="BC64" s="49" t="s">
        <v>65</v>
      </c>
      <c r="BD64" s="51"/>
    </row>
    <row collapsed="false" customFormat="true" customHeight="true" hidden="false" ht="37.5" outlineLevel="0" r="65" s="52">
      <c r="A65" s="99" t="n">
        <f aca="false">VLOOKUP(B65,['file:///Users/user/Downloads/10. MUSI BOSA CORTE 31 DE DICIEMBRE 2016_INSUMO CONTRALORIA.xls']Hoja2!$B$47:$C$66,2,0)</f>
        <v>7</v>
      </c>
      <c r="B65" s="58" t="s">
        <v>43</v>
      </c>
      <c r="C65" s="99" t="n">
        <f aca="false">VLOOKUP(E65,['file:///Users/user/Downloads/10. MUSI BOSA CORTE 31 DE DICIEMBRE 2016_INSUMO CONTRALORIA.xls']Hoja2!$B$8:$C$10,2,0)</f>
        <v>3</v>
      </c>
      <c r="D65" s="34" t="s">
        <v>361</v>
      </c>
      <c r="E65" s="100" t="s">
        <v>290</v>
      </c>
      <c r="F65" s="99" t="n">
        <f aca="false">VLOOKUP(G65,['file:///Users/user/Downloads/10. MUSI BOSA CORTE 31 DE DICIEMBRE 2016_INSUMO CONTRALORIA.xls']Hoja2!$B$12:$C$40,2,0)</f>
        <v>31</v>
      </c>
      <c r="G65" s="100" t="s">
        <v>346</v>
      </c>
      <c r="H65" s="101" t="n">
        <v>386</v>
      </c>
      <c r="I65" s="100" t="s">
        <v>347</v>
      </c>
      <c r="J65" s="61" t="n">
        <f aca="false">VLOOKUP(K65,['file:///Users/user/Downloads/10. MUSI BOSA CORTE 31 DE DICIEMBRE 2016_INSUMO CONTRALORIA.xls']Hoja1!$D$81:$G$158,2,0)</f>
        <v>75</v>
      </c>
      <c r="K65" s="57" t="s">
        <v>348</v>
      </c>
      <c r="L65" s="61" t="n">
        <v>853</v>
      </c>
      <c r="M65" s="57" t="s">
        <v>349</v>
      </c>
      <c r="N65" s="61" t="n">
        <v>1</v>
      </c>
      <c r="O65" s="57" t="s">
        <v>350</v>
      </c>
      <c r="P65" s="62" t="n">
        <v>9</v>
      </c>
      <c r="Q65" s="100" t="s">
        <v>351</v>
      </c>
      <c r="R65" s="100" t="s">
        <v>352</v>
      </c>
      <c r="S65" s="57" t="str">
        <f aca="false">VLOOKUP(K65,['file:///Users/user/Downloads/10. MUSI BOSA CORTE 31 DE DICIEMBRE 2016_INSUMO CONTRALORIA.xls']Hoja1!$D$81:$G$158,4,0)</f>
        <v>5. GOBIERNO </v>
      </c>
      <c r="T65" s="57" t="str">
        <f aca="false">VLOOKUP(K65,['file:///Users/user/Downloads/10. MUSI BOSA CORTE 31 DE DICIEMBRE 2016_INSUMO CONTRALORIA.xls']Hoja1!$D$81:$G$158,3,0)</f>
        <v>Fortalecimiento institucional</v>
      </c>
      <c r="U65" s="58" t="s">
        <v>85</v>
      </c>
      <c r="V65" s="59" t="n">
        <v>1</v>
      </c>
      <c r="W65" s="60" t="n">
        <f aca="false">AK65/P65</f>
        <v>0.916666666666667</v>
      </c>
      <c r="X65" s="60" t="n">
        <f aca="false">V65*W65</f>
        <v>0.916666666666667</v>
      </c>
      <c r="Y65" s="60" t="n">
        <f aca="false">AP65/P65</f>
        <v>0.916666666666667</v>
      </c>
      <c r="Z65" s="60" t="n">
        <f aca="false">Y65*V65</f>
        <v>0.916666666666667</v>
      </c>
      <c r="AA65" s="61" t="n">
        <v>8</v>
      </c>
      <c r="AB65" s="62" t="n">
        <v>9</v>
      </c>
      <c r="AC65" s="62" t="n">
        <v>9</v>
      </c>
      <c r="AD65" s="62" t="n">
        <v>9</v>
      </c>
      <c r="AE65" s="62" t="n">
        <v>9</v>
      </c>
      <c r="AF65" s="62" t="n">
        <f aca="false">SI(U65="Constante";PROMEDIO(AB65;AC65;AD65;AE65);SI(U65="Suma";SUMA(AB65;AC65;AD65;AE65);0))</f>
        <v>9</v>
      </c>
      <c r="AG65" s="62" t="n">
        <v>8</v>
      </c>
      <c r="AH65" s="62" t="n">
        <v>8</v>
      </c>
      <c r="AI65" s="63" t="n">
        <v>8</v>
      </c>
      <c r="AJ65" s="64" t="n">
        <v>9</v>
      </c>
      <c r="AK65" s="62" t="n">
        <f aca="false">SI(U65="Constante";PROMEDIO(AG65;AH65;AI65;AJ65);SI(U65="Suma";SUMA(AG65;AH65;AI65;AJ65);0))</f>
        <v>8.25</v>
      </c>
      <c r="AL65" s="62" t="n">
        <v>8</v>
      </c>
      <c r="AM65" s="63" t="n">
        <v>8</v>
      </c>
      <c r="AN65" s="64" t="n">
        <v>8</v>
      </c>
      <c r="AO65" s="64" t="n">
        <v>9</v>
      </c>
      <c r="AP65" s="62" t="n">
        <f aca="false">SI(U65="Constante";PROMEDIO(AL65;AM65;AN65;AO65);SI(U65="Suma";SUMA(AL65;AM65;AN65;AO65);0))</f>
        <v>8.25</v>
      </c>
      <c r="AQ65" s="49" t="n">
        <v>488045715</v>
      </c>
      <c r="AR65" s="49" t="n">
        <v>508973108</v>
      </c>
      <c r="AS65" s="46" t="n">
        <v>529657971</v>
      </c>
      <c r="AT65" s="67" t="n">
        <v>642916265</v>
      </c>
      <c r="AU65" s="49" t="n">
        <f aca="false">SUMA(AQ65:AT65)</f>
        <v>2169593059</v>
      </c>
      <c r="AV65" s="49" t="n">
        <v>488045715</v>
      </c>
      <c r="AW65" s="49" t="n">
        <v>508973108</v>
      </c>
      <c r="AX65" s="46" t="n">
        <v>529657971</v>
      </c>
      <c r="AY65" s="67" t="n">
        <v>642916265</v>
      </c>
      <c r="AZ65" s="49" t="n">
        <f aca="false">SUMA(AV65:AY65)</f>
        <v>2169593059</v>
      </c>
      <c r="BA65" s="49"/>
      <c r="BB65" s="49"/>
      <c r="BC65" s="49" t="s">
        <v>65</v>
      </c>
      <c r="BD65" s="68" t="s">
        <v>353</v>
      </c>
    </row>
    <row collapsed="false" customFormat="true" customHeight="true" hidden="false" ht="37.5" outlineLevel="0" r="66" s="52">
      <c r="A66" s="99" t="n">
        <f aca="false">VLOOKUP(B66,['file:///Users/user/Downloads/10. MUSI BOSA CORTE 31 DE DICIEMBRE 2016_INSUMO CONTRALORIA.xls']Hoja2!$B$47:$C$66,2,0)</f>
        <v>7</v>
      </c>
      <c r="B66" s="58" t="s">
        <v>43</v>
      </c>
      <c r="C66" s="99" t="n">
        <f aca="false">VLOOKUP(E66,['file:///Users/user/Downloads/10. MUSI BOSA CORTE 31 DE DICIEMBRE 2016_INSUMO CONTRALORIA.xls']Hoja2!$B$8:$C$10,2,0)</f>
        <v>3</v>
      </c>
      <c r="D66" s="34" t="s">
        <v>361</v>
      </c>
      <c r="E66" s="100" t="s">
        <v>290</v>
      </c>
      <c r="F66" s="99" t="n">
        <f aca="false">VLOOKUP(G66,['file:///Users/user/Downloads/10. MUSI BOSA CORTE 31 DE DICIEMBRE 2016_INSUMO CONTRALORIA.xls']Hoja2!$B$12:$C$40,2,0)</f>
        <v>31</v>
      </c>
      <c r="G66" s="100" t="s">
        <v>346</v>
      </c>
      <c r="H66" s="101" t="n">
        <v>387</v>
      </c>
      <c r="I66" s="100" t="s">
        <v>354</v>
      </c>
      <c r="J66" s="61" t="n">
        <f aca="false">VLOOKUP(K66,['file:///Users/user/Downloads/10. MUSI BOSA CORTE 31 DE DICIEMBRE 2016_INSUMO CONTRALORIA.xls']Hoja1!$D$81:$G$158,2,0)</f>
        <v>76</v>
      </c>
      <c r="K66" s="57" t="s">
        <v>355</v>
      </c>
      <c r="L66" s="61" t="n">
        <v>853</v>
      </c>
      <c r="M66" s="57" t="s">
        <v>349</v>
      </c>
      <c r="N66" s="61" t="n">
        <v>2</v>
      </c>
      <c r="O66" s="57" t="s">
        <v>356</v>
      </c>
      <c r="P66" s="62" t="n">
        <v>1</v>
      </c>
      <c r="Q66" s="100" t="s">
        <v>357</v>
      </c>
      <c r="R66" s="100" t="s">
        <v>358</v>
      </c>
      <c r="S66" s="57" t="str">
        <f aca="false">VLOOKUP(K66,['file:///Users/user/Downloads/10. MUSI BOSA CORTE 31 DE DICIEMBRE 2016_INSUMO CONTRALORIA.xls']Hoja1!$D$81:$G$158,4,0)</f>
        <v>5. GOBIERNO </v>
      </c>
      <c r="T66" s="57" t="str">
        <f aca="false">VLOOKUP(K66,['file:///Users/user/Downloads/10. MUSI BOSA CORTE 31 DE DICIEMBRE 2016_INSUMO CONTRALORIA.xls']Hoja1!$D$81:$G$158,3,0)</f>
        <v>Fortalecimiento institucional</v>
      </c>
      <c r="U66" s="58" t="s">
        <v>85</v>
      </c>
      <c r="V66" s="59" t="n">
        <v>1</v>
      </c>
      <c r="W66" s="60" t="n">
        <f aca="false">AK66/P66</f>
        <v>1</v>
      </c>
      <c r="X66" s="60" t="n">
        <f aca="false">V66*W66</f>
        <v>1</v>
      </c>
      <c r="Y66" s="60" t="n">
        <f aca="false">AP66/P66</f>
        <v>1</v>
      </c>
      <c r="Z66" s="60" t="n">
        <f aca="false">Y66*V66</f>
        <v>1</v>
      </c>
      <c r="AA66" s="61" t="n">
        <v>1</v>
      </c>
      <c r="AB66" s="62" t="n">
        <v>1</v>
      </c>
      <c r="AC66" s="62" t="n">
        <v>1</v>
      </c>
      <c r="AD66" s="62" t="n">
        <v>1</v>
      </c>
      <c r="AE66" s="62" t="n">
        <v>1</v>
      </c>
      <c r="AF66" s="62" t="n">
        <f aca="false">SI(U66="Constante";PROMEDIO(AB66;AC66;AD66;AE66);SI(U66="Suma";SUMA(AB66;AC66;AD66;AE66);0))</f>
        <v>1</v>
      </c>
      <c r="AG66" s="62" t="n">
        <v>1</v>
      </c>
      <c r="AH66" s="62" t="n">
        <v>1</v>
      </c>
      <c r="AI66" s="63" t="n">
        <v>1</v>
      </c>
      <c r="AJ66" s="64" t="n">
        <v>1</v>
      </c>
      <c r="AK66" s="62" t="n">
        <f aca="false">SI(U66="Constante";PROMEDIO(AG66;AH66;AI66;AJ66);SI(U66="Suma";SUMA(AG66;AH66;AI66;AJ66);0))</f>
        <v>1</v>
      </c>
      <c r="AL66" s="62" t="n">
        <v>1</v>
      </c>
      <c r="AM66" s="63" t="n">
        <v>1</v>
      </c>
      <c r="AN66" s="64" t="n">
        <v>1</v>
      </c>
      <c r="AO66" s="64" t="n">
        <v>1</v>
      </c>
      <c r="AP66" s="102" t="n">
        <f aca="false">SI(U66="Constante";PROMEDIO(AL66;AM66;AN66;AO66);SI(U66="Suma";SUMA(AL66;AM66;AN66;AO66);0))</f>
        <v>1</v>
      </c>
      <c r="AQ66" s="49" t="n">
        <v>2775865708</v>
      </c>
      <c r="AR66" s="49" t="n">
        <v>2670552632</v>
      </c>
      <c r="AS66" s="49" t="n">
        <v>2529744368</v>
      </c>
      <c r="AT66" s="67" t="n">
        <f aca="false">3124452235-AT65</f>
        <v>2481535970</v>
      </c>
      <c r="AU66" s="49" t="n">
        <f aca="false">SUMA(AQ66:AT66)</f>
        <v>10457698678</v>
      </c>
      <c r="AV66" s="49" t="n">
        <v>1278219999</v>
      </c>
      <c r="AW66" s="49" t="n">
        <v>1160809538</v>
      </c>
      <c r="AX66" s="49" t="n">
        <v>1638373351</v>
      </c>
      <c r="AY66" s="67" t="n">
        <f aca="false">1969290414-AY65</f>
        <v>1326374149</v>
      </c>
      <c r="AZ66" s="49" t="n">
        <f aca="false">SUMA(AV66:AY66)</f>
        <v>5403777037</v>
      </c>
      <c r="BA66" s="49"/>
      <c r="BB66" s="49"/>
      <c r="BC66" s="49" t="s">
        <v>65</v>
      </c>
      <c r="BD66" s="68" t="s">
        <v>353</v>
      </c>
    </row>
    <row collapsed="false" customFormat="false" customHeight="true" hidden="false" ht="15" outlineLevel="0" r="73"/>
  </sheetData>
  <mergeCells count="8">
    <mergeCell ref="A1:T1"/>
    <mergeCell ref="U1:AA1"/>
    <mergeCell ref="AB1:AF1"/>
    <mergeCell ref="AG1:AK1"/>
    <mergeCell ref="AL1:AP1"/>
    <mergeCell ref="AQ1:AU1"/>
    <mergeCell ref="AV1:AZ1"/>
    <mergeCell ref="BA1:BB1"/>
  </mergeCells>
  <dataValidations count="6">
    <dataValidation allowBlank="true" operator="between" showDropDown="false" showErrorMessage="true" showInputMessage="true" sqref="BC3:BC66 KY3:KY66 UU3:UU66 AEQ3:AEQ66" type="list">
      <formula1>TEMASPRIORITARIOS</formula1>
      <formula2>0</formula2>
    </dataValidation>
    <dataValidation allowBlank="true" operator="between" showDropDown="false" showErrorMessage="true" showInputMessage="false" sqref="E3:E66 JA3:JA66 SW3:SW66 ACS3:ACS66" type="list">
      <formula1>EJES</formula1>
      <formula2>0</formula2>
    </dataValidation>
    <dataValidation allowBlank="true" operator="between" showDropDown="false" showErrorMessage="true" showInputMessage="false" sqref="B3:B66 IY3:IY66 SU3:SU66 ACQ3:ACQ66" type="list">
      <formula1>LOCALIDADES</formula1>
      <formula2>0</formula2>
    </dataValidation>
    <dataValidation allowBlank="true" operator="between" showDropDown="false" showErrorMessage="true" showInputMessage="false" sqref="K3:K66 JG3:JG66 TC3:TC66 ACY3:ACY66" type="list">
      <formula1>INDICADORAGREGADO</formula1>
      <formula2>0</formula2>
    </dataValidation>
    <dataValidation allowBlank="true" operator="between" showDropDown="false" showErrorMessage="true" showInputMessage="false" sqref="G3:G66 JC3:JC66 SY3:SY66 ACU3:ACU66" type="list">
      <formula1>INDIRECT(#REF!)</formula1>
      <formula2>0</formula2>
    </dataValidation>
    <dataValidation allowBlank="true" operator="between" showDropDown="false" showErrorMessage="true" showInputMessage="false" sqref="U3:U66 JQ3:JQ66 TM3:TM66 ADI3:ADI66" type="list">
      <formula1>TIPOMETA</formula1>
      <formula2>0</formula2>
    </dataValidation>
  </dataValidations>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2017-04-30T02:22:38.00Z</dcterms:created>
  <dc:creator>user</dc:creator>
  <cp:lastModifiedBy>user</cp:lastModifiedBy>
  <dcterms:modified xsi:type="dcterms:W3CDTF">2017-04-30T02:30:58.00Z</dcterms:modified>
  <cp:revision>0</cp:revision>
</cp:coreProperties>
</file>