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activeTab="1"/>
  </bookViews>
  <sheets>
    <sheet name="Hoja1" sheetId="1" r:id="rId1"/>
    <sheet name="Hoja2" sheetId="2" r:id="rId2"/>
  </sheets>
  <calcPr calcId="125725"/>
  <fileRecoveryPr repairLoad="1"/>
</workbook>
</file>

<file path=xl/calcChain.xml><?xml version="1.0" encoding="utf-8"?>
<calcChain xmlns="http://schemas.openxmlformats.org/spreadsheetml/2006/main">
  <c r="AY66" i="2"/>
  <c r="AT66"/>
  <c r="Y66"/>
  <c r="Z66" s="1"/>
  <c r="W66"/>
  <c r="X66" s="1"/>
  <c r="Y65"/>
  <c r="Z65" s="1"/>
  <c r="W65"/>
  <c r="X65" s="1"/>
  <c r="AM64"/>
  <c r="AI64"/>
  <c r="Y64"/>
  <c r="Z64" s="1"/>
  <c r="W64"/>
  <c r="X64" s="1"/>
  <c r="Y63"/>
  <c r="Z63" s="1"/>
  <c r="W63"/>
  <c r="X63" s="1"/>
  <c r="AX62"/>
  <c r="AN62"/>
  <c r="AM62"/>
  <c r="Z62"/>
  <c r="Y62"/>
  <c r="X62"/>
  <c r="W62"/>
  <c r="Z61"/>
  <c r="Y61"/>
  <c r="X61"/>
  <c r="W61"/>
  <c r="Z60"/>
  <c r="Y60"/>
  <c r="X60"/>
  <c r="W60"/>
  <c r="AV59"/>
  <c r="AM59"/>
  <c r="AG59"/>
  <c r="Y59"/>
  <c r="Z59" s="1"/>
  <c r="W59"/>
  <c r="X59" s="1"/>
  <c r="Y58"/>
  <c r="Z58" s="1"/>
  <c r="W58"/>
  <c r="X58" s="1"/>
  <c r="Y57"/>
  <c r="Z57" s="1"/>
  <c r="W57"/>
  <c r="X57" s="1"/>
  <c r="Y56"/>
  <c r="Z56" s="1"/>
  <c r="W56"/>
  <c r="X56" s="1"/>
  <c r="Y55"/>
  <c r="Z55" s="1"/>
  <c r="W55"/>
  <c r="X55" s="1"/>
  <c r="Y54"/>
  <c r="Z54" s="1"/>
  <c r="W54"/>
  <c r="X54" s="1"/>
  <c r="Y53"/>
  <c r="Z53" s="1"/>
  <c r="W53"/>
  <c r="X53" s="1"/>
  <c r="AG52"/>
  <c r="Z52"/>
  <c r="Y52"/>
  <c r="X52"/>
  <c r="W52"/>
  <c r="Z51"/>
  <c r="Y51"/>
  <c r="X51"/>
  <c r="W51"/>
  <c r="AQ50"/>
  <c r="Y50"/>
  <c r="Z50" s="1"/>
  <c r="W50"/>
  <c r="X50" s="1"/>
  <c r="AM49"/>
  <c r="Z49"/>
  <c r="Y49"/>
  <c r="X49"/>
  <c r="W49"/>
  <c r="AT48"/>
  <c r="AM48"/>
  <c r="AH48"/>
  <c r="Y48"/>
  <c r="Z48" s="1"/>
  <c r="W48"/>
  <c r="X48" s="1"/>
  <c r="AQ47"/>
  <c r="Z47"/>
  <c r="Y47"/>
  <c r="X47"/>
  <c r="W47"/>
  <c r="Z46"/>
  <c r="Y46"/>
  <c r="X46"/>
  <c r="W46"/>
  <c r="BF45"/>
  <c r="Y45"/>
  <c r="Z45" s="1"/>
  <c r="W45"/>
  <c r="X45" s="1"/>
  <c r="AN44"/>
  <c r="AM44"/>
  <c r="Y44"/>
  <c r="Z44" s="1"/>
  <c r="W44"/>
  <c r="X44" s="1"/>
  <c r="Y43"/>
  <c r="Z43" s="1"/>
  <c r="W43"/>
  <c r="X43" s="1"/>
  <c r="AY42"/>
  <c r="AT42"/>
  <c r="AM42"/>
  <c r="AH42"/>
  <c r="AG42"/>
  <c r="Z42"/>
  <c r="Y42"/>
  <c r="X42"/>
  <c r="W42"/>
  <c r="AQ41"/>
  <c r="Y41"/>
  <c r="Z41" s="1"/>
  <c r="W41"/>
  <c r="X41" s="1"/>
  <c r="BF40"/>
  <c r="Z40"/>
  <c r="Y40"/>
  <c r="X40"/>
  <c r="W40"/>
  <c r="AL39"/>
  <c r="Y39"/>
  <c r="Z39" s="1"/>
  <c r="W39"/>
  <c r="X39" s="1"/>
  <c r="AS38"/>
  <c r="AN38"/>
  <c r="Y38"/>
  <c r="Z38" s="1"/>
  <c r="W38"/>
  <c r="X38" s="1"/>
  <c r="AT37"/>
  <c r="Z37"/>
  <c r="Y37"/>
  <c r="X37"/>
  <c r="W37"/>
  <c r="AM36"/>
  <c r="Y36"/>
  <c r="Z36" s="1"/>
  <c r="W36"/>
  <c r="X36" s="1"/>
  <c r="Y35"/>
  <c r="Z35" s="1"/>
  <c r="W35"/>
  <c r="X35" s="1"/>
  <c r="Y34"/>
  <c r="Z34" s="1"/>
  <c r="W34"/>
  <c r="X34" s="1"/>
  <c r="AM33"/>
  <c r="Z33"/>
  <c r="Y33"/>
  <c r="X33"/>
  <c r="W33"/>
  <c r="Z32"/>
  <c r="Y32"/>
  <c r="X32"/>
  <c r="W32"/>
  <c r="Z31"/>
  <c r="Y31"/>
  <c r="X31"/>
  <c r="W31"/>
  <c r="AS30"/>
  <c r="AM30"/>
  <c r="Z30"/>
  <c r="Y30"/>
  <c r="X30"/>
  <c r="W30"/>
  <c r="AH29"/>
  <c r="AG29"/>
  <c r="Z29"/>
  <c r="Y29"/>
  <c r="X29"/>
  <c r="W29"/>
  <c r="Z28"/>
  <c r="Y28"/>
  <c r="X28"/>
  <c r="W28"/>
  <c r="Z27"/>
  <c r="Y27"/>
  <c r="X27"/>
  <c r="W27"/>
  <c r="AS26"/>
  <c r="AL26"/>
  <c r="Z26"/>
  <c r="Y26"/>
  <c r="X26"/>
  <c r="W26"/>
  <c r="Z25"/>
  <c r="Y25"/>
  <c r="X25"/>
  <c r="W25"/>
  <c r="Z24"/>
  <c r="Y24"/>
  <c r="X24"/>
  <c r="W24"/>
  <c r="Z23"/>
  <c r="Y23"/>
  <c r="X23"/>
  <c r="W23"/>
  <c r="Z22"/>
  <c r="Y22"/>
  <c r="X22"/>
  <c r="W22"/>
  <c r="AM21"/>
  <c r="AL21"/>
  <c r="AH21"/>
  <c r="Y21"/>
  <c r="Z21" s="1"/>
  <c r="W21"/>
  <c r="X21" s="1"/>
  <c r="AM20"/>
  <c r="AL20"/>
  <c r="AH20"/>
  <c r="Z20"/>
  <c r="Y20"/>
  <c r="X20"/>
  <c r="W20"/>
  <c r="AS19"/>
  <c r="AN19"/>
  <c r="AM19"/>
  <c r="AL19"/>
  <c r="AI19"/>
  <c r="AH19"/>
  <c r="Z19"/>
  <c r="Y19"/>
  <c r="X19"/>
  <c r="W19"/>
  <c r="AS18"/>
  <c r="AN18"/>
  <c r="AI18"/>
  <c r="Y18"/>
  <c r="Z18" s="1"/>
  <c r="W18"/>
  <c r="X18" s="1"/>
  <c r="Y17"/>
  <c r="Z17" s="1"/>
  <c r="W17"/>
  <c r="X17" s="1"/>
  <c r="Y16"/>
  <c r="Z16" s="1"/>
  <c r="W16"/>
  <c r="X16" s="1"/>
  <c r="AM15"/>
  <c r="AH15"/>
  <c r="Y15"/>
  <c r="Z15" s="1"/>
  <c r="W15"/>
  <c r="X15" s="1"/>
  <c r="AT14"/>
  <c r="AM14"/>
  <c r="AI14"/>
  <c r="Z14"/>
  <c r="Y14"/>
  <c r="X14"/>
  <c r="W14"/>
  <c r="Z13"/>
  <c r="Y13"/>
  <c r="X13"/>
  <c r="W13"/>
  <c r="Z12"/>
  <c r="Y12"/>
  <c r="X12"/>
  <c r="W12"/>
  <c r="Z11"/>
  <c r="Y11"/>
  <c r="X11"/>
  <c r="W11"/>
  <c r="AX10"/>
  <c r="AS10"/>
  <c r="AG10"/>
  <c r="Y10"/>
  <c r="Z10" s="1"/>
  <c r="W10"/>
  <c r="X10" s="1"/>
  <c r="Y9"/>
  <c r="Z9" s="1"/>
  <c r="W9"/>
  <c r="X9" s="1"/>
  <c r="AI8"/>
  <c r="Z8"/>
  <c r="Y8"/>
  <c r="X8"/>
  <c r="W8"/>
  <c r="AT7"/>
  <c r="Y7"/>
  <c r="Z7" s="1"/>
  <c r="W7"/>
  <c r="X7" s="1"/>
  <c r="AT6"/>
  <c r="AJ6"/>
  <c r="Y6"/>
  <c r="Z6" s="1"/>
  <c r="W6"/>
  <c r="X6" s="1"/>
  <c r="AU5"/>
  <c r="AT5"/>
  <c r="AM5"/>
  <c r="Y5"/>
  <c r="Z5" s="1"/>
  <c r="W5"/>
  <c r="X5" s="1"/>
  <c r="AS4"/>
  <c r="Z4"/>
  <c r="Y4"/>
  <c r="X4"/>
  <c r="W4"/>
  <c r="Z3"/>
  <c r="Y3"/>
  <c r="X3"/>
  <c r="W3"/>
  <c r="AX66" i="1"/>
  <c r="AS66"/>
  <c r="Y66"/>
  <c r="X66"/>
  <c r="W66"/>
  <c r="V66"/>
  <c r="Y65"/>
  <c r="X65"/>
  <c r="W65"/>
  <c r="V65"/>
  <c r="AL64"/>
  <c r="AH64"/>
  <c r="Y64"/>
  <c r="X64"/>
  <c r="W64"/>
  <c r="V64"/>
  <c r="Y63"/>
  <c r="X63"/>
  <c r="W63"/>
  <c r="V63"/>
  <c r="AW62"/>
  <c r="AM62"/>
  <c r="AL62"/>
  <c r="X62"/>
  <c r="Y62" s="1"/>
  <c r="V62"/>
  <c r="W62" s="1"/>
  <c r="X61"/>
  <c r="Y61" s="1"/>
  <c r="V61"/>
  <c r="W61" s="1"/>
  <c r="X60"/>
  <c r="Y60" s="1"/>
  <c r="V60"/>
  <c r="W60" s="1"/>
  <c r="AU59"/>
  <c r="AL59"/>
  <c r="AF59"/>
  <c r="Y59"/>
  <c r="X59"/>
  <c r="W59"/>
  <c r="V59"/>
  <c r="Y58"/>
  <c r="X58"/>
  <c r="W58"/>
  <c r="V58"/>
  <c r="Y57"/>
  <c r="X57"/>
  <c r="W57"/>
  <c r="V57"/>
  <c r="Y56"/>
  <c r="X56"/>
  <c r="W56"/>
  <c r="V56"/>
  <c r="Y55"/>
  <c r="X55"/>
  <c r="W55"/>
  <c r="V55"/>
  <c r="Y54"/>
  <c r="X54"/>
  <c r="W54"/>
  <c r="V54"/>
  <c r="Y53"/>
  <c r="X53"/>
  <c r="W53"/>
  <c r="V53"/>
  <c r="AF52"/>
  <c r="X52"/>
  <c r="Y52" s="1"/>
  <c r="V52"/>
  <c r="W52" s="1"/>
  <c r="X51"/>
  <c r="Y51" s="1"/>
  <c r="V51"/>
  <c r="W51" s="1"/>
  <c r="AP50"/>
  <c r="Y50"/>
  <c r="X50"/>
  <c r="W50"/>
  <c r="V50"/>
  <c r="AL49"/>
  <c r="X49"/>
  <c r="Y49" s="1"/>
  <c r="V49"/>
  <c r="W49" s="1"/>
  <c r="AS48"/>
  <c r="AL48"/>
  <c r="AG48"/>
  <c r="Y48"/>
  <c r="X48"/>
  <c r="W48"/>
  <c r="V48"/>
  <c r="AP47"/>
  <c r="X47"/>
  <c r="Y47" s="1"/>
  <c r="V47"/>
  <c r="W47" s="1"/>
  <c r="X46"/>
  <c r="Y46" s="1"/>
  <c r="V46"/>
  <c r="W46" s="1"/>
  <c r="BE45"/>
  <c r="Y45"/>
  <c r="X45"/>
  <c r="W45"/>
  <c r="V45"/>
  <c r="AM44"/>
  <c r="AL44"/>
  <c r="Y44"/>
  <c r="X44"/>
  <c r="W44"/>
  <c r="V44"/>
  <c r="X43"/>
  <c r="Y43" s="1"/>
  <c r="W43"/>
  <c r="V43"/>
  <c r="AX42"/>
  <c r="AS42"/>
  <c r="AL42"/>
  <c r="AG42"/>
  <c r="AF42"/>
  <c r="X42"/>
  <c r="Y42" s="1"/>
  <c r="V42"/>
  <c r="W42" s="1"/>
  <c r="AP41"/>
  <c r="Y41"/>
  <c r="X41"/>
  <c r="W41"/>
  <c r="V41"/>
  <c r="BE40"/>
  <c r="X40"/>
  <c r="Y40" s="1"/>
  <c r="V40"/>
  <c r="W40" s="1"/>
  <c r="AK39"/>
  <c r="Y39"/>
  <c r="X39"/>
  <c r="W39"/>
  <c r="V39"/>
  <c r="AR38"/>
  <c r="AM38"/>
  <c r="Y38"/>
  <c r="X38"/>
  <c r="W38"/>
  <c r="V38"/>
  <c r="AS37"/>
  <c r="X37"/>
  <c r="Y37" s="1"/>
  <c r="V37"/>
  <c r="W37" s="1"/>
  <c r="AL36"/>
  <c r="Y36"/>
  <c r="X36"/>
  <c r="W36"/>
  <c r="V36"/>
  <c r="Y35"/>
  <c r="X35"/>
  <c r="W35"/>
  <c r="V35"/>
  <c r="Y34"/>
  <c r="X34"/>
  <c r="W34"/>
  <c r="V34"/>
  <c r="AL33"/>
  <c r="X33"/>
  <c r="Y33" s="1"/>
  <c r="V33"/>
  <c r="W33" s="1"/>
  <c r="X32"/>
  <c r="Y32" s="1"/>
  <c r="V32"/>
  <c r="W32" s="1"/>
  <c r="X31"/>
  <c r="Y31" s="1"/>
  <c r="V31"/>
  <c r="W31" s="1"/>
  <c r="AR30"/>
  <c r="AL30"/>
  <c r="X30"/>
  <c r="Y30" s="1"/>
  <c r="V30"/>
  <c r="W30" s="1"/>
  <c r="AG29"/>
  <c r="AF29"/>
  <c r="X29"/>
  <c r="Y29" s="1"/>
  <c r="V29"/>
  <c r="W29" s="1"/>
  <c r="X28"/>
  <c r="Y28" s="1"/>
  <c r="V28"/>
  <c r="W28" s="1"/>
  <c r="X27"/>
  <c r="Y27" s="1"/>
  <c r="V27"/>
  <c r="W27" s="1"/>
  <c r="AR26"/>
  <c r="AK26"/>
  <c r="X26"/>
  <c r="Y26" s="1"/>
  <c r="V26"/>
  <c r="W26" s="1"/>
  <c r="X25"/>
  <c r="Y25" s="1"/>
  <c r="V25"/>
  <c r="W25" s="1"/>
  <c r="X24"/>
  <c r="Y24" s="1"/>
  <c r="V24"/>
  <c r="W24" s="1"/>
  <c r="X23"/>
  <c r="Y23" s="1"/>
  <c r="V23"/>
  <c r="W23" s="1"/>
  <c r="X22"/>
  <c r="Y22" s="1"/>
  <c r="V22"/>
  <c r="W22" s="1"/>
  <c r="AL21"/>
  <c r="AK21"/>
  <c r="AG21"/>
  <c r="Y21"/>
  <c r="X21"/>
  <c r="W21"/>
  <c r="V21"/>
  <c r="AL20"/>
  <c r="AK20"/>
  <c r="AG20"/>
  <c r="X20"/>
  <c r="Y20" s="1"/>
  <c r="V20"/>
  <c r="W20" s="1"/>
  <c r="AR19"/>
  <c r="AM19"/>
  <c r="AL19"/>
  <c r="AK19"/>
  <c r="AH19"/>
  <c r="AG19"/>
  <c r="X19"/>
  <c r="Y19" s="1"/>
  <c r="V19"/>
  <c r="W19" s="1"/>
  <c r="AR18"/>
  <c r="AM18"/>
  <c r="AH18"/>
  <c r="Y18"/>
  <c r="X18"/>
  <c r="W18"/>
  <c r="V18"/>
  <c r="Y17"/>
  <c r="X17"/>
  <c r="W17"/>
  <c r="V17"/>
  <c r="Y16"/>
  <c r="X16"/>
  <c r="W16"/>
  <c r="V16"/>
  <c r="AL15"/>
  <c r="AG15"/>
  <c r="Y15"/>
  <c r="X15"/>
  <c r="W15"/>
  <c r="V15"/>
  <c r="AS14"/>
  <c r="AL14"/>
  <c r="AH14"/>
  <c r="X14"/>
  <c r="Y14" s="1"/>
  <c r="V14"/>
  <c r="W14" s="1"/>
  <c r="X13"/>
  <c r="Y13" s="1"/>
  <c r="V13"/>
  <c r="W13" s="1"/>
  <c r="X12"/>
  <c r="Y12" s="1"/>
  <c r="V12"/>
  <c r="W12" s="1"/>
  <c r="X11"/>
  <c r="Y11" s="1"/>
  <c r="V11"/>
  <c r="W11" s="1"/>
  <c r="AW10"/>
  <c r="AR10"/>
  <c r="AF10"/>
  <c r="Y10"/>
  <c r="X10"/>
  <c r="W10"/>
  <c r="V10"/>
  <c r="Y9"/>
  <c r="X9"/>
  <c r="W9"/>
  <c r="V9"/>
  <c r="AH8"/>
  <c r="X8"/>
  <c r="Y8" s="1"/>
  <c r="V8"/>
  <c r="W8" s="1"/>
  <c r="AS7"/>
  <c r="Y7"/>
  <c r="X7"/>
  <c r="W7"/>
  <c r="V7"/>
  <c r="AS6"/>
  <c r="AI6"/>
  <c r="Y6"/>
  <c r="X6"/>
  <c r="W6"/>
  <c r="V6"/>
  <c r="AS5"/>
  <c r="AT5" s="1"/>
  <c r="AL5"/>
  <c r="Y5"/>
  <c r="X5"/>
  <c r="W5"/>
  <c r="V5"/>
  <c r="AR4"/>
  <c r="X4"/>
  <c r="Y4" s="1"/>
  <c r="V4"/>
  <c r="W4" s="1"/>
  <c r="X3"/>
  <c r="Y3" s="1"/>
  <c r="V3"/>
  <c r="W3" s="1"/>
  <c r="AU65" i="2"/>
  <c r="AU64"/>
  <c r="AU63"/>
  <c r="AZ61"/>
  <c r="AZ60"/>
  <c r="AZ59"/>
  <c r="AU59"/>
  <c r="AU58"/>
  <c r="AU57"/>
  <c r="AU56"/>
  <c r="AU55"/>
  <c r="AU54"/>
  <c r="AU53"/>
  <c r="AU52"/>
  <c r="AZ51"/>
  <c r="AZ50"/>
  <c r="AU49"/>
  <c r="AZ48"/>
  <c r="AU47"/>
  <c r="AZ46"/>
  <c r="AU45"/>
  <c r="AU44"/>
  <c r="AU43"/>
  <c r="AZ41"/>
  <c r="AZ40"/>
  <c r="AZ39"/>
  <c r="AU38"/>
  <c r="AU37"/>
  <c r="AZ36"/>
  <c r="AU35"/>
  <c r="AU34"/>
  <c r="AU33"/>
  <c r="AZ32"/>
  <c r="AZ31"/>
  <c r="AZ30"/>
  <c r="AZ29"/>
  <c r="AZ28"/>
  <c r="AZ27"/>
  <c r="AZ26"/>
  <c r="AZ25"/>
  <c r="AZ24"/>
  <c r="AZ23"/>
  <c r="AZ22"/>
  <c r="AZ21"/>
  <c r="AU20"/>
  <c r="AZ19"/>
  <c r="AZ18"/>
  <c r="AU17"/>
  <c r="AU16"/>
  <c r="AU15"/>
  <c r="AU14"/>
  <c r="AZ13"/>
  <c r="AZ12"/>
  <c r="AZ11"/>
  <c r="AZ10"/>
  <c r="AU10"/>
  <c r="AU9"/>
  <c r="AU8"/>
  <c r="AZ7"/>
  <c r="AU6"/>
  <c r="AU4"/>
  <c r="AZ3"/>
  <c r="AY66" i="1"/>
  <c r="AT66"/>
  <c r="AY65"/>
  <c r="AY64"/>
  <c r="AY63"/>
  <c r="AY62"/>
  <c r="AT62"/>
  <c r="AT61"/>
  <c r="AT60"/>
  <c r="AY58"/>
  <c r="AY57"/>
  <c r="AY56"/>
  <c r="AY55"/>
  <c r="AY54"/>
  <c r="AY53"/>
  <c r="AY52"/>
  <c r="AT51"/>
  <c r="AT50"/>
  <c r="AY49"/>
  <c r="AT48"/>
  <c r="AY47"/>
  <c r="AT46"/>
  <c r="AY45"/>
  <c r="AY44"/>
  <c r="AY43"/>
  <c r="AY42"/>
  <c r="AT42"/>
  <c r="AT41"/>
  <c r="AT40"/>
  <c r="AT39"/>
  <c r="AY38"/>
  <c r="AY37"/>
  <c r="AT36"/>
  <c r="AY35"/>
  <c r="AY34"/>
  <c r="AY33"/>
  <c r="AT32"/>
  <c r="AT31"/>
  <c r="AT30"/>
  <c r="AT29"/>
  <c r="AT28"/>
  <c r="AT27"/>
  <c r="AT26"/>
  <c r="AT25"/>
  <c r="AT24"/>
  <c r="AT23"/>
  <c r="AT22"/>
  <c r="AT21"/>
  <c r="AY20"/>
  <c r="AT19"/>
  <c r="AT18"/>
  <c r="AY17"/>
  <c r="AY16"/>
  <c r="AY15"/>
  <c r="AY14"/>
  <c r="AT13"/>
  <c r="AT12"/>
  <c r="AT11"/>
  <c r="AY9"/>
  <c r="AY8"/>
  <c r="AT7"/>
  <c r="AY6"/>
  <c r="AY5"/>
  <c r="AY4"/>
  <c r="AT3"/>
  <c r="AZ66" i="2"/>
  <c r="AU66"/>
  <c r="AZ65"/>
  <c r="AZ64"/>
  <c r="AZ63"/>
  <c r="AZ62"/>
  <c r="AU62"/>
  <c r="AU61"/>
  <c r="AU60"/>
  <c r="AZ58"/>
  <c r="AZ57"/>
  <c r="AZ56"/>
  <c r="AZ55"/>
  <c r="AZ54"/>
  <c r="AZ53"/>
  <c r="AZ52"/>
  <c r="AU51"/>
  <c r="AU50"/>
  <c r="AZ49"/>
  <c r="AU48"/>
  <c r="AZ47"/>
  <c r="AU46"/>
  <c r="AZ45"/>
  <c r="AZ44"/>
  <c r="AZ43"/>
  <c r="AZ42"/>
  <c r="AU42"/>
  <c r="AU41"/>
  <c r="AU40"/>
  <c r="AU39"/>
  <c r="AZ38"/>
  <c r="AZ37"/>
  <c r="AU36"/>
  <c r="AZ35"/>
  <c r="AZ34"/>
  <c r="AZ33"/>
  <c r="AU32"/>
  <c r="AU31"/>
  <c r="AU30"/>
  <c r="AU29"/>
  <c r="AU28"/>
  <c r="AU27"/>
  <c r="AU26"/>
  <c r="AU25"/>
  <c r="AU24"/>
  <c r="AU23"/>
  <c r="AU22"/>
  <c r="AU21"/>
  <c r="AZ20"/>
  <c r="AU19"/>
  <c r="AU18"/>
  <c r="AZ17"/>
  <c r="AZ16"/>
  <c r="AZ15"/>
  <c r="AZ14"/>
  <c r="AU13"/>
  <c r="AU12"/>
  <c r="AU11"/>
  <c r="AZ9"/>
  <c r="AZ8"/>
  <c r="AU7"/>
  <c r="AZ6"/>
  <c r="AZ5"/>
  <c r="AZ4"/>
  <c r="AU3"/>
  <c r="AT65" i="1"/>
  <c r="AT64"/>
  <c r="AT63"/>
  <c r="AY61"/>
  <c r="AY60"/>
  <c r="AY59"/>
  <c r="AT59"/>
  <c r="AT58"/>
  <c r="AT57"/>
  <c r="AT56"/>
  <c r="AT55"/>
  <c r="AT54"/>
  <c r="AT53"/>
  <c r="AT52"/>
  <c r="AY51"/>
  <c r="AY50"/>
  <c r="AT49"/>
  <c r="AY48"/>
  <c r="AT47"/>
  <c r="AY46"/>
  <c r="AT45"/>
  <c r="AT44"/>
  <c r="AT43"/>
  <c r="AY41"/>
  <c r="AY40"/>
  <c r="AY39"/>
  <c r="AT38"/>
  <c r="AT37"/>
  <c r="AY36"/>
  <c r="AT35"/>
  <c r="AT34"/>
  <c r="AT33"/>
  <c r="AY32"/>
  <c r="AY31"/>
  <c r="AY30"/>
  <c r="AY29"/>
  <c r="AY28"/>
  <c r="AY27"/>
  <c r="AY26"/>
  <c r="AY25"/>
  <c r="AY24"/>
  <c r="AY23"/>
  <c r="AY22"/>
  <c r="AY21"/>
  <c r="AT20"/>
  <c r="AY19"/>
  <c r="AY18"/>
  <c r="AT17"/>
  <c r="AT16"/>
  <c r="AT15"/>
  <c r="AT14"/>
  <c r="AY13"/>
  <c r="AY12"/>
  <c r="AY11"/>
  <c r="AY10"/>
  <c r="AT10"/>
  <c r="AT9"/>
  <c r="AT8"/>
  <c r="AY7"/>
  <c r="AT6"/>
  <c r="AT4"/>
  <c r="AY3"/>
</calcChain>
</file>

<file path=xl/comments1.xml><?xml version="1.0" encoding="utf-8"?>
<comments xmlns="http://schemas.openxmlformats.org/spreadsheetml/2006/main">
  <authors>
    <author/>
  </authors>
  <commentList>
    <comment ref="O2" authorId="0">
      <text>
        <r>
          <rPr>
            <b/>
            <sz val="9"/>
            <color rgb="FF000000"/>
            <rFont val="Tahoma"/>
            <family val="2"/>
            <charset val="1"/>
          </rPr>
          <t>Durante los Cuatro años</t>
        </r>
      </text>
    </comment>
    <comment ref="AR13" authorId="0">
      <text>
        <r>
          <rPr>
            <b/>
            <sz val="9"/>
            <color rgb="FF000000"/>
            <rFont val="Tahoma"/>
            <family val="2"/>
            <charset val="1"/>
          </rPr>
          <t xml:space="preserve">Jorge Eduardo Velandia Cristancho:
</t>
        </r>
        <r>
          <rPr>
            <sz val="9"/>
            <color rgb="FF000000"/>
            <rFont val="Tahoma"/>
            <family val="2"/>
            <charset val="1"/>
          </rPr>
          <t>500.000</t>
        </r>
      </text>
    </comment>
    <comment ref="AH14" authorId="0">
      <text>
        <r>
          <rPr>
            <b/>
            <sz val="9"/>
            <color rgb="FF000000"/>
            <rFont val="Tahoma"/>
            <family val="2"/>
            <charset val="1"/>
          </rPr>
          <t xml:space="preserve">Jorge Eduardo Velandia Cristancho:
</t>
        </r>
        <r>
          <rPr>
            <sz val="9"/>
            <color rgb="FF000000"/>
            <rFont val="Tahoma"/>
            <family val="2"/>
            <charset val="1"/>
          </rPr>
          <t xml:space="preserve">proyeccion unidad móvil
</t>
        </r>
      </text>
    </comment>
    <comment ref="AM14" authorId="0">
      <text>
        <r>
          <rPr>
            <b/>
            <sz val="9"/>
            <color rgb="FF000000"/>
            <rFont val="Tahoma"/>
            <family val="2"/>
            <charset val="1"/>
          </rPr>
          <t xml:space="preserve">Jorge Eduardo Velandia Cristancho:
</t>
        </r>
        <r>
          <rPr>
            <sz val="9"/>
            <color rgb="FF000000"/>
            <rFont val="Tahoma"/>
            <family val="2"/>
            <charset val="1"/>
          </rPr>
          <t xml:space="preserve">proyeccion unidad móvil
</t>
        </r>
      </text>
    </comment>
    <comment ref="AH19" authorId="0">
      <text>
        <r>
          <rPr>
            <b/>
            <sz val="9"/>
            <color rgb="FF000000"/>
            <rFont val="Tahoma"/>
            <family val="2"/>
            <charset val="1"/>
          </rPr>
          <t xml:space="preserve">Jorge Eduardo Velandia Cristancho:
</t>
        </r>
        <r>
          <rPr>
            <sz val="9"/>
            <color rgb="FF000000"/>
            <rFont val="Tahoma"/>
            <family val="2"/>
            <charset val="1"/>
          </rPr>
          <t xml:space="preserve">dato de la unidad movil y reporte de dra angela
</t>
        </r>
      </text>
    </comment>
    <comment ref="AL19" authorId="0">
      <text>
        <r>
          <rPr>
            <b/>
            <sz val="9"/>
            <color rgb="FF000000"/>
            <rFont val="Tahoma"/>
            <family val="2"/>
            <charset val="1"/>
          </rPr>
          <t xml:space="preserve">Jorge Eduardo Velandia Cristancho:
</t>
        </r>
        <r>
          <rPr>
            <sz val="9"/>
            <color rgb="FF000000"/>
            <rFont val="Tahoma"/>
            <family val="2"/>
            <charset val="1"/>
          </rPr>
          <t>Incluye Unidad Movil y contrato de justicia formal e informal que tiene dos contratos angela martinez y jeanteh espitis reporto 2400</t>
        </r>
      </text>
    </comment>
    <comment ref="AH20" authorId="0">
      <text>
        <r>
          <rPr>
            <b/>
            <sz val="9"/>
            <color rgb="FF000000"/>
            <rFont val="Tahoma"/>
            <family val="2"/>
            <charset val="1"/>
          </rPr>
          <t xml:space="preserve">Jorge Eduardo Velandia Cristancho:
</t>
        </r>
        <r>
          <rPr>
            <sz val="9"/>
            <color rgb="FF000000"/>
            <rFont val="Tahoma"/>
            <family val="2"/>
            <charset val="1"/>
          </rPr>
          <t xml:space="preserve"> reporte de dra angela
</t>
        </r>
      </text>
    </comment>
    <comment ref="AH21" authorId="0">
      <text>
        <r>
          <rPr>
            <b/>
            <sz val="9"/>
            <color rgb="FF000000"/>
            <rFont val="Tahoma"/>
            <family val="2"/>
            <charset val="1"/>
          </rPr>
          <t xml:space="preserve">Jorge Eduardo Velandia Cristancho:
</t>
        </r>
        <r>
          <rPr>
            <sz val="9"/>
            <color rgb="FF000000"/>
            <rFont val="Tahoma"/>
            <family val="2"/>
            <charset val="1"/>
          </rPr>
          <t xml:space="preserve"> reporte de dra angela
</t>
        </r>
      </text>
    </comment>
    <comment ref="AF22" authorId="0">
      <text>
        <r>
          <rPr>
            <b/>
            <sz val="9"/>
            <color rgb="FF000000"/>
            <rFont val="Tahoma"/>
            <family val="2"/>
            <charset val="1"/>
          </rPr>
          <t xml:space="preserve">Jorge Eduardo Velandia Cristancho:
</t>
        </r>
        <r>
          <rPr>
            <sz val="9"/>
            <color rgb="FF000000"/>
            <rFont val="Tahoma"/>
            <family val="2"/>
            <charset val="1"/>
          </rPr>
          <t>El contato se lquido con 11 eventos</t>
        </r>
      </text>
    </comment>
    <comment ref="AR26" authorId="0">
      <text>
        <r>
          <rPr>
            <b/>
            <sz val="9"/>
            <color rgb="FF000000"/>
            <rFont val="Tahoma"/>
            <family val="2"/>
            <charset val="1"/>
          </rPr>
          <t xml:space="preserve">Jorge Eduardo Velandia Cristancho:
</t>
        </r>
        <r>
          <rPr>
            <sz val="9"/>
            <color rgb="FF000000"/>
            <rFont val="Tahoma"/>
            <family val="2"/>
            <charset val="1"/>
          </rPr>
          <t>Devolucion 3300000</t>
        </r>
      </text>
    </comment>
    <comment ref="AK28" authorId="0">
      <text>
        <r>
          <rPr>
            <b/>
            <sz val="9"/>
            <color rgb="FF000000"/>
            <rFont val="Tahoma"/>
            <family val="2"/>
            <charset val="1"/>
          </rPr>
          <t xml:space="preserve">Jorge Eduardo Velandia Cristancho:
</t>
        </r>
        <r>
          <rPr>
            <sz val="9"/>
            <color rgb="FF000000"/>
            <rFont val="Tahoma"/>
            <family val="2"/>
            <charset val="1"/>
          </rPr>
          <t>Fernando</t>
        </r>
      </text>
    </comment>
    <comment ref="AF41" authorId="0">
      <text>
        <r>
          <rPr>
            <b/>
            <sz val="9"/>
            <color rgb="FF000000"/>
            <rFont val="Tahoma"/>
            <family val="2"/>
            <charset val="1"/>
          </rPr>
          <t xml:space="preserve">Jorge Eduardo Velandia Cristancho:
</t>
        </r>
        <r>
          <rPr>
            <sz val="9"/>
            <color rgb="FF000000"/>
            <rFont val="Tahoma"/>
            <family val="2"/>
            <charset val="1"/>
          </rPr>
          <t>40 focos</t>
        </r>
      </text>
    </comment>
    <comment ref="Q56" authorId="0">
      <text>
        <r>
          <rPr>
            <b/>
            <sz val="8"/>
            <color rgb="FF000000"/>
            <rFont val="Tahoma"/>
            <family val="2"/>
            <charset val="1"/>
          </rPr>
          <t xml:space="preserve">Colossus User:
</t>
        </r>
        <r>
          <rPr>
            <sz val="8"/>
            <color rgb="FF000000"/>
            <rFont val="Tahoma"/>
            <family val="2"/>
            <charset val="1"/>
          </rPr>
          <t>Ajustar redaccion</t>
        </r>
      </text>
    </comment>
  </commentList>
</comments>
</file>

<file path=xl/comments2.xml><?xml version="1.0" encoding="utf-8"?>
<comments xmlns="http://schemas.openxmlformats.org/spreadsheetml/2006/main">
  <authors>
    <author/>
  </authors>
  <commentList>
    <comment ref="P2" authorId="0">
      <text>
        <r>
          <rPr>
            <b/>
            <sz val="9"/>
            <color rgb="FF000000"/>
            <rFont val="Tahoma"/>
            <family val="2"/>
            <charset val="1"/>
          </rPr>
          <t>Durante los Cuatro años</t>
        </r>
      </text>
    </comment>
    <comment ref="AS13" authorId="0">
      <text>
        <r>
          <rPr>
            <b/>
            <sz val="9"/>
            <color rgb="FF000000"/>
            <rFont val="Tahoma"/>
            <family val="2"/>
            <charset val="1"/>
          </rPr>
          <t xml:space="preserve">Jorge Eduardo Velandia Cristancho:
</t>
        </r>
        <r>
          <rPr>
            <sz val="9"/>
            <color rgb="FF000000"/>
            <rFont val="Tahoma"/>
            <family val="2"/>
            <charset val="1"/>
          </rPr>
          <t>500.000</t>
        </r>
      </text>
    </comment>
    <comment ref="AI14" authorId="0">
      <text>
        <r>
          <rPr>
            <b/>
            <sz val="9"/>
            <color rgb="FF000000"/>
            <rFont val="Tahoma"/>
            <family val="2"/>
            <charset val="1"/>
          </rPr>
          <t xml:space="preserve">Jorge Eduardo Velandia Cristancho:
</t>
        </r>
        <r>
          <rPr>
            <sz val="9"/>
            <color rgb="FF000000"/>
            <rFont val="Tahoma"/>
            <family val="2"/>
            <charset val="1"/>
          </rPr>
          <t xml:space="preserve">proyeccion unidad móvil
</t>
        </r>
      </text>
    </comment>
    <comment ref="AN14" authorId="0">
      <text>
        <r>
          <rPr>
            <b/>
            <sz val="9"/>
            <color rgb="FF000000"/>
            <rFont val="Tahoma"/>
            <family val="2"/>
            <charset val="1"/>
          </rPr>
          <t xml:space="preserve">Jorge Eduardo Velandia Cristancho:
</t>
        </r>
        <r>
          <rPr>
            <sz val="9"/>
            <color rgb="FF000000"/>
            <rFont val="Tahoma"/>
            <family val="2"/>
            <charset val="1"/>
          </rPr>
          <t xml:space="preserve">proyeccion unidad móvil
</t>
        </r>
      </text>
    </comment>
    <comment ref="AI19" authorId="0">
      <text>
        <r>
          <rPr>
            <b/>
            <sz val="9"/>
            <color rgb="FF000000"/>
            <rFont val="Tahoma"/>
            <family val="2"/>
            <charset val="1"/>
          </rPr>
          <t xml:space="preserve">Jorge Eduardo Velandia Cristancho:
</t>
        </r>
        <r>
          <rPr>
            <sz val="9"/>
            <color rgb="FF000000"/>
            <rFont val="Tahoma"/>
            <family val="2"/>
            <charset val="1"/>
          </rPr>
          <t xml:space="preserve">dato de la unidad movil y reporte de dra angela
</t>
        </r>
      </text>
    </comment>
    <comment ref="AM19" authorId="0">
      <text>
        <r>
          <rPr>
            <b/>
            <sz val="9"/>
            <color rgb="FF000000"/>
            <rFont val="Tahoma"/>
            <family val="2"/>
            <charset val="1"/>
          </rPr>
          <t xml:space="preserve">Jorge Eduardo Velandia Cristancho:
</t>
        </r>
        <r>
          <rPr>
            <sz val="9"/>
            <color rgb="FF000000"/>
            <rFont val="Tahoma"/>
            <family val="2"/>
            <charset val="1"/>
          </rPr>
          <t>Incluye Unidad Movil y contrato de justicia formal e informal que tiene dos contratos angela martinez y jeanteh espitis reporto 2400</t>
        </r>
      </text>
    </comment>
    <comment ref="AI20" authorId="0">
      <text>
        <r>
          <rPr>
            <b/>
            <sz val="9"/>
            <color rgb="FF000000"/>
            <rFont val="Tahoma"/>
            <family val="2"/>
            <charset val="1"/>
          </rPr>
          <t xml:space="preserve">Jorge Eduardo Velandia Cristancho:
</t>
        </r>
        <r>
          <rPr>
            <sz val="9"/>
            <color rgb="FF000000"/>
            <rFont val="Tahoma"/>
            <family val="2"/>
            <charset val="1"/>
          </rPr>
          <t xml:space="preserve"> reporte de dra angela
</t>
        </r>
      </text>
    </comment>
    <comment ref="AI21" authorId="0">
      <text>
        <r>
          <rPr>
            <b/>
            <sz val="9"/>
            <color rgb="FF000000"/>
            <rFont val="Tahoma"/>
            <family val="2"/>
            <charset val="1"/>
          </rPr>
          <t xml:space="preserve">Jorge Eduardo Velandia Cristancho:
</t>
        </r>
        <r>
          <rPr>
            <sz val="9"/>
            <color rgb="FF000000"/>
            <rFont val="Tahoma"/>
            <family val="2"/>
            <charset val="1"/>
          </rPr>
          <t xml:space="preserve"> reporte de dra angela
</t>
        </r>
      </text>
    </comment>
    <comment ref="AG22" authorId="0">
      <text>
        <r>
          <rPr>
            <b/>
            <sz val="9"/>
            <color rgb="FF000000"/>
            <rFont val="Tahoma"/>
            <family val="2"/>
            <charset val="1"/>
          </rPr>
          <t xml:space="preserve">Jorge Eduardo Velandia Cristancho:
</t>
        </r>
        <r>
          <rPr>
            <sz val="9"/>
            <color rgb="FF000000"/>
            <rFont val="Tahoma"/>
            <family val="2"/>
            <charset val="1"/>
          </rPr>
          <t>El contato se lquido con 11 eventos</t>
        </r>
      </text>
    </comment>
    <comment ref="AS26" authorId="0">
      <text>
        <r>
          <rPr>
            <b/>
            <sz val="9"/>
            <color rgb="FF000000"/>
            <rFont val="Tahoma"/>
            <family val="2"/>
            <charset val="1"/>
          </rPr>
          <t xml:space="preserve">Jorge Eduardo Velandia Cristancho:
</t>
        </r>
        <r>
          <rPr>
            <sz val="9"/>
            <color rgb="FF000000"/>
            <rFont val="Tahoma"/>
            <family val="2"/>
            <charset val="1"/>
          </rPr>
          <t>Devolucion 3300000</t>
        </r>
      </text>
    </comment>
    <comment ref="AL28" authorId="0">
      <text>
        <r>
          <rPr>
            <b/>
            <sz val="9"/>
            <color rgb="FF000000"/>
            <rFont val="Tahoma"/>
            <family val="2"/>
            <charset val="1"/>
          </rPr>
          <t xml:space="preserve">Jorge Eduardo Velandia Cristancho:
</t>
        </r>
        <r>
          <rPr>
            <sz val="9"/>
            <color rgb="FF000000"/>
            <rFont val="Tahoma"/>
            <family val="2"/>
            <charset val="1"/>
          </rPr>
          <t>Fernando</t>
        </r>
      </text>
    </comment>
    <comment ref="AG41" authorId="0">
      <text>
        <r>
          <rPr>
            <b/>
            <sz val="9"/>
            <color rgb="FF000000"/>
            <rFont val="Tahoma"/>
            <family val="2"/>
            <charset val="1"/>
          </rPr>
          <t xml:space="preserve">Jorge Eduardo Velandia Cristancho:
</t>
        </r>
        <r>
          <rPr>
            <sz val="9"/>
            <color rgb="FF000000"/>
            <rFont val="Tahoma"/>
            <family val="2"/>
            <charset val="1"/>
          </rPr>
          <t>40 focos</t>
        </r>
      </text>
    </comment>
    <comment ref="R56" authorId="0">
      <text>
        <r>
          <rPr>
            <b/>
            <sz val="8"/>
            <color rgb="FF000000"/>
            <rFont val="Tahoma"/>
            <family val="2"/>
            <charset val="1"/>
          </rPr>
          <t xml:space="preserve">Colossus User:
</t>
        </r>
        <r>
          <rPr>
            <sz val="8"/>
            <color rgb="FF000000"/>
            <rFont val="Tahoma"/>
            <family val="2"/>
            <charset val="1"/>
          </rPr>
          <t>Ajustar redaccion</t>
        </r>
      </text>
    </comment>
  </commentList>
</comments>
</file>

<file path=xl/sharedStrings.xml><?xml version="1.0" encoding="utf-8"?>
<sst xmlns="http://schemas.openxmlformats.org/spreadsheetml/2006/main" count="1895" uniqueCount="396">
  <si>
    <t>IDENTIFICACION DEL PROYECTO</t>
  </si>
  <si>
    <t>INDICADORES DE ESTADO DE LAS METAS</t>
  </si>
  <si>
    <t>ANUALIZACIÓN DE LA META (PROGRAMACION INICIAL)</t>
  </si>
  <si>
    <t>EJECUCIÓN FÍSICA  DE LA META (CONTRATADO)</t>
  </si>
  <si>
    <t>EJECUCIÓN FÍSICA REAL DE LA META</t>
  </si>
  <si>
    <t>EJECUCIÓN FINANCIERA DE LA META (compromisos)</t>
  </si>
  <si>
    <t>EJECUCIÓN FINANCIERA DE LA META (giros)</t>
  </si>
  <si>
    <t>VERIFICACIONES</t>
  </si>
  <si>
    <t>No.</t>
  </si>
  <si>
    <t>LOCALIDAD</t>
  </si>
  <si>
    <t>Código Eje</t>
  </si>
  <si>
    <t>Eje</t>
  </si>
  <si>
    <t>Código Programa</t>
  </si>
  <si>
    <t>Programa</t>
  </si>
  <si>
    <t>Código meta PDL</t>
  </si>
  <si>
    <t>Meta PDL</t>
  </si>
  <si>
    <t>Código Indicador</t>
  </si>
  <si>
    <t>Indicador Uificado</t>
  </si>
  <si>
    <t>No. Proyecto</t>
  </si>
  <si>
    <t>Nombre Proyecto</t>
  </si>
  <si>
    <t>Código meta proyecto</t>
  </si>
  <si>
    <t>Proceso</t>
  </si>
  <si>
    <t>Magnitud</t>
  </si>
  <si>
    <t>Unidad de Medida</t>
  </si>
  <si>
    <t>Descripción</t>
  </si>
  <si>
    <t>Sector (Seleccionar de la Lista)</t>
  </si>
  <si>
    <t>Producto</t>
  </si>
  <si>
    <t>Tipo de Meta</t>
  </si>
  <si>
    <t>Ponderación de la meta de proyecto frente a la meta del Plan</t>
  </si>
  <si>
    <t>Avance Acumulado contratado (Meta de Proyecto) %</t>
  </si>
  <si>
    <t>% AVANCE META PLAN CONSOLIDADO (contratado)</t>
  </si>
  <si>
    <t>Avance Acumulado real (Meta de Proyecto) %</t>
  </si>
  <si>
    <t>% AVANCE META PLAN CONSOLIDADO (ejecución real)</t>
  </si>
  <si>
    <t>Linea Base (PMR)</t>
  </si>
  <si>
    <t>Total</t>
  </si>
  <si>
    <t>Ejecucion fisica ACUMULADA</t>
  </si>
  <si>
    <t>Ejecucion fisica real ACUMULADA</t>
  </si>
  <si>
    <t>Total Compromisos</t>
  </si>
  <si>
    <t>Total Giros</t>
  </si>
  <si>
    <t>2015 (CONTRATADO)</t>
  </si>
  <si>
    <t>2015 (GIRADO)</t>
  </si>
  <si>
    <t>TEMAS PRIORITARIOS (Seleccionar de la lista)</t>
  </si>
  <si>
    <t>Observaciones frente al cumplimiento de metas</t>
  </si>
  <si>
    <t>BOSA</t>
  </si>
  <si>
    <t>EJE_UNO</t>
  </si>
  <si>
    <t>Garantía del desarrollo integral de la primera infancia.</t>
  </si>
  <si>
    <t>Dotar 80 espacios de manera gradual de acuerdo a la necesidad de cada uno de ellos. para la atención integral a la primera infancia teniendo en cuenta condiciones de accesibilidad y seguridad.</t>
  </si>
  <si>
    <t>Equipamientos para la atención a la primera infancia dotados</t>
  </si>
  <si>
    <t>Apoyo al desarrollo integral de la primera infancia</t>
  </si>
  <si>
    <t>Dotar</t>
  </si>
  <si>
    <t>Espacios</t>
  </si>
  <si>
    <t>de manera gradual de acuerdo a la necesidad de cada uno de ellos. para la atención integral a la primera infancia teniendo en cuenta condiciones de accesibilidad y seguridad</t>
  </si>
  <si>
    <t>SUMA</t>
  </si>
  <si>
    <t>PRIMERA INFANCIA Y DOTACIÓN JARDINES</t>
  </si>
  <si>
    <t>Vincular 16.000 personas en actividades de promoción del buen trato y prevención de violencia en niños y niñas de primera infancia (principalmente prevención del abuso sexual).</t>
  </si>
  <si>
    <t>Personas vinculadas a acciones de promoción del buen trato</t>
  </si>
  <si>
    <t>Vincular</t>
  </si>
  <si>
    <t>Personas</t>
  </si>
  <si>
    <t>en actividades de promoción del buen trato y prevención de violencia en niños y niñas de primera infancia (principalmente prevención del abuso sexual)</t>
  </si>
  <si>
    <t>Territorios saludables y red de salud para la vida desde la diversidad.</t>
  </si>
  <si>
    <t>Vincular 10.000 personas en promoción y formación en derechos sexuales y reproductivos y proyecto de vida.</t>
  </si>
  <si>
    <t>Personas vinculadas a acciones de promoción y prevención en salud</t>
  </si>
  <si>
    <t>Acciones de prevención y promoción en salud</t>
  </si>
  <si>
    <t>Personas</t>
  </si>
  <si>
    <t>en promoción y formación en derechos sexuales y reproductivos y proyecto de vida</t>
  </si>
  <si>
    <t>OTRAS INVERSIONES</t>
  </si>
  <si>
    <t>Para la vigencia 2013 se dejaron en procesos en curso. sin embargo. por temas adminsitrativos y concepto tecnic de la secretaria de salud no hubo y no sse pudo avanzar en la meta: Para la vigencia 2016 el contrato no afecta la magnitud de la meta</t>
  </si>
  <si>
    <t>Vincular 5.000 jóvenes en acciones de promoción y eventos tendientes para desestimular el consumo de sustancias psicoactivas con acompañamiento de sus familias.</t>
  </si>
  <si>
    <t>Personas vinculadas a acciones para la prevención del consumo de SPA y otras sustancias</t>
  </si>
  <si>
    <t>jovenes</t>
  </si>
  <si>
    <t>en acciones de promoción y eventos tendientes para desestimular el consumo de sustancias psicoactivas con acompañamiento de sus familias</t>
  </si>
  <si>
    <t>Beneficiar 1.800 personas en situación de discapacidad con la entrega de ayudas técnicas (no pos).</t>
  </si>
  <si>
    <t>Personas benficiadas con ayudas técnicas</t>
  </si>
  <si>
    <t>Beneficiar</t>
  </si>
  <si>
    <t>en situación de discapacidad con la entrega de ayudas técnicas (no pos)</t>
  </si>
  <si>
    <t>Para 2016 133 con 340 ayudas tecnicas. Para 2016 el valor no afecta la magnitud de la meta</t>
  </si>
  <si>
    <t>Vincular 4.000 mujeres en programas de prevención de embarazos no deseados tanto a mujeres en edad fértil como adolescentes.</t>
  </si>
  <si>
    <t>Mujeres</t>
  </si>
  <si>
    <t>en programas de prevención de embarazos no deseados tanto a mujeres en edad fértil como adolescentes</t>
  </si>
  <si>
    <t>Para la vigencia 2013 se dejaron en procesos en curso. sin embargo. por temas adminsitrativos y concepto tecnic de la secretaria de salud no hubo y no sse pudo avanzar en la meta</t>
  </si>
  <si>
    <t>Construcción de saberes. Educación inclusiva, diversa y de calidad para disfrutar y aprender desde la primera infancia.</t>
  </si>
  <si>
    <t>Vincular 300 personas como mínimo con programas de preparación y capacitación para validación de primaria y/o bachillerato.</t>
  </si>
  <si>
    <t>Personas vinculadas a programas de educación para adultos</t>
  </si>
  <si>
    <t>Contribuir con el fortalecimiento de la educación en la localidad</t>
  </si>
  <si>
    <t>como mínimo con programas de preparación y capacitación de primaria y/o bachillerato</t>
  </si>
  <si>
    <t>CONSTANTE</t>
  </si>
  <si>
    <t>Vincular 58.000 niños. niñas. jóvenes y adolescentes vinculados al sistema educativo con salidas pedagógicas extraescolares en el distrito.</t>
  </si>
  <si>
    <t>Estudiantes vinculados a actividades extraescolares</t>
  </si>
  <si>
    <t>Niños. Niñas. Jóvenes Y Adolescentes</t>
  </si>
  <si>
    <t>vinculados al sistema educativo con salidas pedagógicas extraescolares en el distrito</t>
  </si>
  <si>
    <t>Dotar 28 colegios con elementos pedagógicos. orientados a la inclusión social. según las particularidades de cada institución.</t>
  </si>
  <si>
    <t>Planteles educativos dotados</t>
  </si>
  <si>
    <t>Colegios</t>
  </si>
  <si>
    <t>con elementos pedagógicos. orientados a la inclusión social. según las particularidades de cada institución</t>
  </si>
  <si>
    <t>Se realiza adición para la vigencia 2014 (Se dotan 4 colegios)</t>
  </si>
  <si>
    <t>Bogotá Humana con igualdad de oportunidades y equidad de género para las mujeres.</t>
  </si>
  <si>
    <t>Vincular 2.000 personas en actividades para la promoción de acciones contra la violencia de género.</t>
  </si>
  <si>
    <t>Personas vinculadas a procesos de prevención de la violencia y discriminación de género</t>
  </si>
  <si>
    <t>Bosa una localidad que defiende y garantiza los derechos humanos de las mujeres</t>
  </si>
  <si>
    <t>en actividades para la promoción de acciones contra la violencia de género</t>
  </si>
  <si>
    <t>Lucha contra distintos tipos de discriminación y violencias por condición, situación, identidad, diferencia, diversidad o etapa del ciclo vital.</t>
  </si>
  <si>
    <t>Vincular 800 personas en estrategias encaminadas a la prevención del riesgo de delincuencia. drogadicción. la prostitución. vinculación a organizaciones criminales y trata de personas. como actividades complementarias de cada uno de los sectores.</t>
  </si>
  <si>
    <t>Personas vinculadas a la promoción de espacios y/o campañas  para mejorar la convivencia y seguridad ciudadana</t>
  </si>
  <si>
    <t>Por una localidad libre de violencia y discriminación</t>
  </si>
  <si>
    <t>en estrategias encaminadas a la prevención del riesgo de delincuencia. drogadicción. la prostitución. vinculación a organizaciones criminales y trata de personas. como actividades complementarias de cada uno de los sectores</t>
  </si>
  <si>
    <t>Vincular 4.000 personas a redes y rutas de protección y seguridad.</t>
  </si>
  <si>
    <t>a redes y rutas de protección y seguridad</t>
  </si>
  <si>
    <t>CASAS DE JUSTICIA</t>
  </si>
  <si>
    <t>La adquisición de la unidad móvil proyecto 832-836</t>
  </si>
  <si>
    <t>Vincular 4.000 personas en campañas comunicativas y educativas en torno a la problemática de la violencia y discriminación contra la población LGBTI.</t>
  </si>
  <si>
    <t>Personas vinculadas a procesos de reconocimiento de la identidad de género, orientación y diversidad sexual, grupo étnico y etario.</t>
  </si>
  <si>
    <t>en campañas comunicativas y educativas en torno a la problemática de la violencia y discriminación contra la población Lgbti</t>
  </si>
  <si>
    <t>El recurso 2015 corresponde al apoyo a la semana de la igualdad</t>
  </si>
  <si>
    <t>Apoyar 40 iniciativas juveniles para el uso del tiempo libre.</t>
  </si>
  <si>
    <t>Iniciativas juveniles apoyadas</t>
  </si>
  <si>
    <t>Apoyar</t>
  </si>
  <si>
    <t>Iniciativas</t>
  </si>
  <si>
    <t>para el uso del tiempo libre</t>
  </si>
  <si>
    <t>Para la vigencia 2016 las iniciativas estan en ejecucion</t>
  </si>
  <si>
    <t>Vincular 1.600 Personas en acciones de construcción de nuevas masculinidades y ruptura de estereotipos sexistas.</t>
  </si>
  <si>
    <t>en acciones de construcción de nuevas masculinidades y ruptura de estereotipos sexistas</t>
  </si>
  <si>
    <t>Entregar a 8000 adultos mayores en situación de vulnerabilidad bonos tipo subsidio C.</t>
  </si>
  <si>
    <t>Personas con subsidio tipo C  beneficiadas</t>
  </si>
  <si>
    <t>Lucha contra la discriminación y segregación económica hacia el adulto mayor</t>
  </si>
  <si>
    <t>Entregar a</t>
  </si>
  <si>
    <t>Adultos Mayores</t>
  </si>
  <si>
    <t>en situación de vulnerabilidad bonos tipo subsidio C</t>
  </si>
  <si>
    <t>BONOS TIPO C</t>
  </si>
  <si>
    <t>Bogotá, un territorio que defiende, protege y promueve los derechos humanos.</t>
  </si>
  <si>
    <t>Vincular 2.000 personas en estrategias de inclusión social para la justicia formal. informal y comunitaria desde la perspectiva de los Derechos Humanos.</t>
  </si>
  <si>
    <t>Personas vínculadas a acciones de promoción de  rutas de acceso a la justicia formal</t>
  </si>
  <si>
    <t>Inclusión Social para la promoción de los Derechos Humanos y la Justicia Social</t>
  </si>
  <si>
    <t>en estrategias de inclusión social para la justicia formal. no formal y comunitaria. desde la perspectivas de los derechos humanos</t>
  </si>
  <si>
    <t>Beneficiar 1.000 personas a través de Gestión. acompañamiento y fortalecimiento de estrategias de inclusión social para: Justicia formal. informal y comunitaria.</t>
  </si>
  <si>
    <t>Benficiar</t>
  </si>
  <si>
    <t>a través de gestión. acompañamiento y fortalecimiento de estrategias de inclusión social para: justicia formal. informal y comunitaria</t>
  </si>
  <si>
    <t>Vincular 1.000 personas en campañas de resolución alternativa de conflictos.</t>
  </si>
  <si>
    <t>Personas vinculadas a procesos de resolución alternativa de conflictos</t>
  </si>
  <si>
    <t>en campañas de resolución alternativa de conflictos</t>
  </si>
  <si>
    <t>Ejercicio de libertades culturales y deportivas.</t>
  </si>
  <si>
    <t>Realizar 64 eventos culturales. artísticos y patrimoniales.</t>
  </si>
  <si>
    <t>Eventos culturales realizados</t>
  </si>
  <si>
    <t>Cultura. arte y patrimonio. como estrategias para la formación. creación y circulación organizacional</t>
  </si>
  <si>
    <t>Realizar</t>
  </si>
  <si>
    <t>Eventos</t>
  </si>
  <si>
    <t>culturales. artísticos y patrimoniales</t>
  </si>
  <si>
    <t>FORMACIÓN, EVENTOS CULTURALES y CARNAVAL</t>
  </si>
  <si>
    <t>Se realizan 11 eventos y se liquida el contrato por muto acuerdo</t>
  </si>
  <si>
    <t>Capacitar 300 personas anualmente a través de escuelas de formación artística y cultural.</t>
  </si>
  <si>
    <t>Personas capacitadas en formación informal artística, cultural y del patrimonio</t>
  </si>
  <si>
    <t>Capacitar</t>
  </si>
  <si>
    <t>anualmente a través de escuelas de formación artística y cultural</t>
  </si>
  <si>
    <t>Se desarrollaron las actividades del proyecto en un proceso contractual con CDP 698 (eventos. formación e inicativas)</t>
  </si>
  <si>
    <t>Apoyar 40 iniciativas de creación y divulgación artística y cultural.</t>
  </si>
  <si>
    <t>Iniciativas culturales apoyadas</t>
  </si>
  <si>
    <t>de creación y divulgación artística y cultural</t>
  </si>
  <si>
    <t>Se adelanto el proceso de iniciativas. sse escogieron los 10 participantes. mas los 3 invitados pero no se entrego el producto para realziar las iniciativas. Debido a inconvenientes con las gatantias del contrato 060 de 2013. Para la vigencia 2015 esta en ejecucion</t>
  </si>
  <si>
    <t>Apoyar 1 plan para la apropiación social del Centro Fundacional de Bosa de manera complementaria con el Sector Cultura.</t>
  </si>
  <si>
    <t>Corredores cuturales, y/o turisticos diseñados y/o intervenidos</t>
  </si>
  <si>
    <t>Plan</t>
  </si>
  <si>
    <t>para la apropiación social del Centro Fundacional de Bosa de manera complementaria con el Sector Cultura.</t>
  </si>
  <si>
    <t>Vincular 3.000 niños(as) de la primera infancia en actividades que promuevan el desarrollo de las capacidades artísticas. culturales recreodeportivas.</t>
  </si>
  <si>
    <t>Personas vinculadas a la oferta recreativa y deportiva</t>
  </si>
  <si>
    <t>Niños (As)</t>
  </si>
  <si>
    <t>de la primera infancia en actividades que promuevan el desarrollo de las capacidades artísticas. culturales y recreodeportivas</t>
  </si>
  <si>
    <t>Paara la vigencia 2015 tambien beneficia 103 padres y acompañantes</t>
  </si>
  <si>
    <t>Formar 250 personas anuales a través de escuelas de formación deportiva.</t>
  </si>
  <si>
    <t>Personas vinculadas a escuelas de formación deportiva</t>
  </si>
  <si>
    <t>Actividades recreativas y deportivas por una Bosa más activa</t>
  </si>
  <si>
    <t>Formar</t>
  </si>
  <si>
    <t>a través de escuelas de formación deportiva</t>
  </si>
  <si>
    <t>Vincular 7.200 adultos mayores a las actividades lúdicas. recreativas para una vejez activa.</t>
  </si>
  <si>
    <t>a las actividades lúdicas y recreativas para una vejez activa</t>
  </si>
  <si>
    <t>Realizar 32 eventos de recreación y deporte.</t>
  </si>
  <si>
    <t>Eventos de recreación y deporte realizados</t>
  </si>
  <si>
    <t>de recreación y deporte</t>
  </si>
  <si>
    <t>Del contrato 109 de 2013 hubo incumplimiento parcial por parte del contreatista y de los 3 eventis contratados unicamente se ejecuto  vacaciones recreativas</t>
  </si>
  <si>
    <t>Mantener 28 parques vecinales.</t>
  </si>
  <si>
    <t>Parques vecinales y/o de bolsillo intervenidos</t>
  </si>
  <si>
    <t>Construcción. adecuación. mantenimiento y dotación de las zonas recreodeportivas de la localidad</t>
  </si>
  <si>
    <t>Mantener</t>
  </si>
  <si>
    <t>Parques</t>
  </si>
  <si>
    <t>vecinales</t>
  </si>
  <si>
    <t>MANTENIMIENTO DE PARQUES VECINALES Y DE BOLSILLO</t>
  </si>
  <si>
    <t>Con recursos 2014 se realiza una adición al contrato 2013. pero no afecta  la meta (11 en total) El recursos 2015 es una adicion al contratraro de la vigencia 2014</t>
  </si>
  <si>
    <t>Construir 6 parques de bolsillo.</t>
  </si>
  <si>
    <t>Parques de bolisllo construidos</t>
  </si>
  <si>
    <t>Construir</t>
  </si>
  <si>
    <t>de bolsillo</t>
  </si>
  <si>
    <t>Con el recurso de la vigencia 2013 se contrataron estudios y diseños para 6 parques de bolsillo. Con la vigencia 2014 se contrata un interventoria para la consultoria 2013</t>
  </si>
  <si>
    <t>Construir 4 parques vecinales.</t>
  </si>
  <si>
    <t>Parques vecinales construidos</t>
  </si>
  <si>
    <t>Con el recurso de la vigencia se contrataron estudios y diseños para 4 parques de vecinales</t>
  </si>
  <si>
    <t>Mantener 60 parques de bolsillo.</t>
  </si>
  <si>
    <t>Con recursos 2014 se realiza una adición al contrato 2013. pero no afecta  la meta (11 en total).  El recursos 2015 es una adicion al contratraro de la vigencia 2014</t>
  </si>
  <si>
    <t>Dotar 1 gimnasio de estimulación adecuada.</t>
  </si>
  <si>
    <t>No agrega</t>
  </si>
  <si>
    <t>gimnasio</t>
  </si>
  <si>
    <t>de estimulación adecuada</t>
  </si>
  <si>
    <t>Vivienda y hábitat humano.</t>
  </si>
  <si>
    <t>Realizar una legalización a través de la licencia de reconocimiento de la construcción para la rehabilitación de la edificación que se encuentra en la dirección Carrera 72 D No 57 A - 03 Sur (Obras Inconclusas).</t>
  </si>
  <si>
    <t>Humanización del hábitat a través de la legalización. titulación y mejoramiento en condiciones de salubridad de vivienda y barrios</t>
  </si>
  <si>
    <t>Por Ciento</t>
  </si>
  <si>
    <t>de la legalización a través de la licencia de reconocimiento de la construcción para la rehabilitación de la edificación que se encuentra en la dirección Carrera 74 Bis No 57 A - 03 Sur (Obras Inconclusas)</t>
  </si>
  <si>
    <t>Vincular 8.000 personas en acciones de divulgación en torno a los programas de titulación. mejoramiento de barrios y mejoramiento en condiciones individuales de vivienda.</t>
  </si>
  <si>
    <t>Personas beneficiadas con asesoría y acompañamiento en soluciones de vivienda y mejoramiento de barrios</t>
  </si>
  <si>
    <t>en acciones de divulgación en torno a los programas de titulación. mejoramiento de barrios y mejoramiento en condiciones individuales de vivienda</t>
  </si>
  <si>
    <t>CONTROL URBANÍSTICO- DESCONGESTIÓN</t>
  </si>
  <si>
    <t>Para la vigencia 2015 el valor de 446 corresponde a expedientes recolectados en procesos de asesoramiento para la titulacion. Sin embargo, no se logro sacar el contrato para la titulacion de estos expedientes. Ese proceso correspondía a la Caja de Vivienda Popular y se buscaba con los recursos del FDL dar un apoyo</t>
  </si>
  <si>
    <t>EJE_DOS</t>
  </si>
  <si>
    <t>Recuperación, rehabilitación y restauración de la estructura ecológica principal y de los espacios del agua.</t>
  </si>
  <si>
    <t>Sembrar 8.000 árboles nativos en la localidad. contemplando el mantenimiento y la conservación.</t>
  </si>
  <si>
    <t>Arboles sembrados</t>
  </si>
  <si>
    <t>Acciones de recuperación y restauración de las zonas de manejo y preservación local</t>
  </si>
  <si>
    <t>Sembrar</t>
  </si>
  <si>
    <t>Árboles</t>
  </si>
  <si>
    <t>en la localidad. contemplando el mantenimiento y la conservación</t>
  </si>
  <si>
    <t>CUERPOS DE AGUA</t>
  </si>
  <si>
    <t>Para la vigencia 2016 se prioriza el recurso par amanteniemieto y tratamiento fitosanitario debido a los procentajes de mortandad causados por la poca precipitacion en la localidad y las altas temporadas de calor. Por eso no se sembro y se priorizo mantenimiento.</t>
  </si>
  <si>
    <t>Recuperar 320.000 m2 de zonas de ronda de los espacios de agua.</t>
  </si>
  <si>
    <t>Espacios ambientales intervenidos</t>
  </si>
  <si>
    <t>Recuperar</t>
  </si>
  <si>
    <t>M2</t>
  </si>
  <si>
    <t>de zonas de ronda de los espacios de agua</t>
  </si>
  <si>
    <t>Vincular 2000 personas con campañas de sensibilización y concientización enfocadas en los espacios del agua.</t>
  </si>
  <si>
    <t>Personas vinculadas en acciones para la conservación o recuperación de los espacios del agua y la protección del ambiente</t>
  </si>
  <si>
    <t>con campañas de sensibilización y concientización enfocadas en los espacios del agua</t>
  </si>
  <si>
    <t>Vincular 80 personas para apoyar al control del uso del suelo e intervención de puntos críticos de basuras y escombros.</t>
  </si>
  <si>
    <t>para apoyar al control del uso del suelo e intervención de puntos críticos de basuras y escombros</t>
  </si>
  <si>
    <t>Intervenir 20.000 focos de plagas (insectos. roedores. vectores. etc.).</t>
  </si>
  <si>
    <t>Focos intervenidos para el control de vectores y plagas</t>
  </si>
  <si>
    <t>Intervenir</t>
  </si>
  <si>
    <t>para el control de focos de plagas (insectos. roedores. vectores. etc.)</t>
  </si>
  <si>
    <t>El hospital interviene para el 2013 7000 mts 2 adicionales por mes. Son 8 meses (56 mts cuadrados)</t>
  </si>
  <si>
    <t>Movilidad Humana.</t>
  </si>
  <si>
    <t>Rehabilitar 46 Km/carril de malla vial local.</t>
  </si>
  <si>
    <t>Km/carril de malla vial local recuperados</t>
  </si>
  <si>
    <t>Construcción. rehabilitación y/o mantenimiento de la malla vial y del espacio público de la localidad</t>
  </si>
  <si>
    <t>Rehabilitar</t>
  </si>
  <si>
    <t>Km/Carril</t>
  </si>
  <si>
    <t>de malla vial local</t>
  </si>
  <si>
    <t>11.5</t>
  </si>
  <si>
    <t>MALLA VIAL LOCAL Y  ESPACIO PUBLICO</t>
  </si>
  <si>
    <t>CON RECURSOS 2014 PAGO SENTENCIA JUDICIAL REPARACION DIRECTA 2008-347 SEGUN FALLO DE SEGUNDA INSTANCIA DEL TRIBUNAL ADMINISTRATIVO DE CUNDINAMARCA.</t>
  </si>
  <si>
    <t>Construir 8400 m2 de espacio público.</t>
  </si>
  <si>
    <t>m2 de espacio público  construidos.</t>
  </si>
  <si>
    <t>Construcción, rehabilitación y/o mantenimiento de la malla vial y del espacio público de la localidad</t>
  </si>
  <si>
    <t>Construír</t>
  </si>
  <si>
    <t>de espacio público</t>
  </si>
  <si>
    <t>Con el recurso de la vigencia 2013 y 2014 se destino para estudios y diseños.</t>
  </si>
  <si>
    <t>Gestión integral de riesgos.</t>
  </si>
  <si>
    <t>Sensibilizar 15000 habitantes anuales frente a la gestión del riesgo.</t>
  </si>
  <si>
    <t>Habitantes sensibilizados en gestión local del riesgo</t>
  </si>
  <si>
    <t>Acciones para fortalecer la gestión integral de riesgos de la localidad</t>
  </si>
  <si>
    <t>Sensibilizar</t>
  </si>
  <si>
    <t>Habitantes</t>
  </si>
  <si>
    <t>anuales frente a la gestión del riesgo</t>
  </si>
  <si>
    <t>MITIGACIÓN- GESTIÓN DEL RIESGO</t>
  </si>
  <si>
    <t>Suministrar 1 grupo anual de elementos para fortalecer el CLE.</t>
  </si>
  <si>
    <t>Dotaciones realizadas al CLE</t>
  </si>
  <si>
    <t>Suministrar</t>
  </si>
  <si>
    <t>Grupo</t>
  </si>
  <si>
    <t>anual de elementos para fortalecer el CLE</t>
  </si>
  <si>
    <t>Realizar 100% de obras de mitigación priorizadas para el manejo del riesgo.</t>
  </si>
  <si>
    <t>Porcentaje de obras para el manejo de riesgo realizadas frente a las solicitadas</t>
  </si>
  <si>
    <t>%</t>
  </si>
  <si>
    <t>obras de mitigación priorizadas para el manejo del riesgo</t>
  </si>
  <si>
    <t>El recurso de la vigencia 2013 se destino para el manejo integral de plagas y enfermedades en arbolado adulto y tala de arboles como una condicion de riesgo presente en la localidad</t>
  </si>
  <si>
    <t>Basuras cero.</t>
  </si>
  <si>
    <t>Vincular 400 personas en la implementación de compostadores domiciliarios para el manejo de los residuos orgánicos.</t>
  </si>
  <si>
    <t>Personas vinculadas a campañas de promoción de reciclaje y disposición diferenciada de residuos sólidos</t>
  </si>
  <si>
    <t>Acciones para fortalecer el manejo de residuos sólidos aprovechables en la localidad</t>
  </si>
  <si>
    <t>en la implementación de compostadores domiciliarios para el manejo de los residuos orgánicos</t>
  </si>
  <si>
    <t>El recurso de la vigencia 2014 corresponde aa una interventoría. No afecta la meta de lavigencia</t>
  </si>
  <si>
    <t>Apoyar 4 iniciativas de manejo y/o aprovechamiento integral de residuos.</t>
  </si>
  <si>
    <t>Iniciativas ambientales y de aprovechamiento de residuos  apoyadas</t>
  </si>
  <si>
    <t>de manejo y/o aprovechamiento integral de residuos</t>
  </si>
  <si>
    <t>Se proyectó apoyar una inciativa para los recicladrores de la localidad, pero se presentaron 12 organizaciones para apoyar sus inciativas en el 2013 y se incluyeron 2 más en 2014 ( con recursos 2013 se apoyo en el tema de legalización y con recursos 2014 se apoya en temas administrativos, financieros y conrtables)</t>
  </si>
  <si>
    <t>Vincular 4000 personas en campañas dirigidas a la sensibilización y educación ambiental para el manejo integral de residuos sólidos.</t>
  </si>
  <si>
    <t>en campañas dirigidas a la sensibilización y educación ambiental para el manejo integral de residuos sólidos</t>
  </si>
  <si>
    <t>En en l 2013 el proceso se va a realizar puerta a puerta para 30 mil viviendas, sin embargo como el proceso es mas lento la ejecucon fisica real tuvo una disminucion</t>
  </si>
  <si>
    <t>Bogotá Humana ambientalmente saludable.</t>
  </si>
  <si>
    <t>Sensibilizar 2000 personas frente al manejo y cuidado de animales.</t>
  </si>
  <si>
    <t>Número de personas beneficiadas con campañas para el manejo y cuidado de animales</t>
  </si>
  <si>
    <t>Bosa humana ambientalmente saludable</t>
  </si>
  <si>
    <t>frente al manejo y cuidado de animales</t>
  </si>
  <si>
    <t>recursdo 2014 se realió unaadicion complementaria para los procesos de concertacion del retiro de 800 semovientes del sector de San Bernardino</t>
  </si>
  <si>
    <t>Sensibilizar 1000 personas sobre contaminación atmosférica en componentes visuales, sonoros y de calidad del aire.</t>
  </si>
  <si>
    <t>Personas vinculadas a procesos de sensibilización sobre contaminación atmosférica, visual  y auditiva.</t>
  </si>
  <si>
    <t>sobre contaminación atmosférica en componentes visuales, sonoros y de calidad del aire</t>
  </si>
  <si>
    <t>EJE_TRES</t>
  </si>
  <si>
    <t>Bogotá Humana participa y decide.</t>
  </si>
  <si>
    <t>Vincular 6.000 personas como mínimo en procesos de la planeación y presupuesto participativo.</t>
  </si>
  <si>
    <t>Personas  vinculadas a procesos de presupestos participativos</t>
  </si>
  <si>
    <t>Fortalecimiento de la participación ciudadana y comunitaria</t>
  </si>
  <si>
    <t>como mínimo en procesos de la planeación y presupuesto participativo</t>
  </si>
  <si>
    <t>Con este recurso se realizó el apoyo logístico para cabildos de vías. Para el 2014 el recurso se utilizó para el proceso de rendicion de cuentas</t>
  </si>
  <si>
    <t>Vincular 600 personas en procesos de formación y capacitación en temas relacionados con la formulación de proyectos, contratación, seguimiento y control social incluyendo presupuestos participativos y formación de formadores.</t>
  </si>
  <si>
    <t>Personas vinculadas en campañas para promover la participación y el control social</t>
  </si>
  <si>
    <t>en procesos de formación y capacitación en temas relacionados con la formulación de proyectos, contratación, seguimiento y control social incluyendo presupuestos participativos</t>
  </si>
  <si>
    <t>Para la vigencia 2013,  en el proceso de convocatoria estaba dirigido a 390 pero solo se pudo consolidar un grupo de 200 personas</t>
  </si>
  <si>
    <t>Fortalecer 160 organizaciones sociales y/o formas de participación en aspectos técnicos, logísticos, operativos y de visibilización.</t>
  </si>
  <si>
    <t>Organizaciones sociales fortalecidas para la participación</t>
  </si>
  <si>
    <t>Fortalecer</t>
  </si>
  <si>
    <t>Organizaciones Sociales</t>
  </si>
  <si>
    <t>y /o formas de participación en aspectos técnicos, logísticos, operativos y de visibilización</t>
  </si>
  <si>
    <t>El recurso de la meta del 2016  se invirtio para la sostenibilidad de la casa de la participacion y se benefician instnacias, organizaciones y espacios</t>
  </si>
  <si>
    <t>Dotar 75 salones comunales.</t>
  </si>
  <si>
    <t>Salones comunales dotados</t>
  </si>
  <si>
    <t>Salones Comunales</t>
  </si>
  <si>
    <t>suministrar elementos que permitan cubrir las necesidades de los salones comunales para la realización de actividades y eventos que propicien la integración, recreación, desarrollo socioeconómico y empoderamiento</t>
  </si>
  <si>
    <t>Culminar 1 construcción de la casa de la participación (obras inconclusas).</t>
  </si>
  <si>
    <t>Culminar</t>
  </si>
  <si>
    <t>Casa De La Participación</t>
  </si>
  <si>
    <t>(Obras Inconclusas)</t>
  </si>
  <si>
    <t>Dotar 1 casa de la participación.</t>
  </si>
  <si>
    <t>Casa</t>
  </si>
  <si>
    <t>de la participación</t>
  </si>
  <si>
    <t>Apoyar logísticamente 1 red local de comunicación social.</t>
  </si>
  <si>
    <t>Medios comunitarios apoyados</t>
  </si>
  <si>
    <t>Apoyar Logísticamente</t>
  </si>
  <si>
    <t>Red Local</t>
  </si>
  <si>
    <t>de comunicación social</t>
  </si>
  <si>
    <t>Vincular 2.000 jóvenes en la promoción de la política de juventud y sus actividades.</t>
  </si>
  <si>
    <t>Personas vinculadas a procesos de promoción de la política de juventud</t>
  </si>
  <si>
    <t>Jóvenes</t>
  </si>
  <si>
    <t>en la promoción de la política pública de juventud y sus actividades</t>
  </si>
  <si>
    <t>Para la vigencia 2013 se vinculasron con un proces de escuela de formacion politca de ciudadani juevenil, derechos humanos, objecion de concienc, estatuto de ciudadani juvenil sistea distrtal de juventuda, estrcutura de estado y formas de control social, planeacion participativa con enfoque diferencial y de genero. Adiconalmente  se abordó con 1200 jovernes gobierno en linea</t>
  </si>
  <si>
    <t>Fortalecimiento de las capacidades de gestión y coordinación del nivel central y las localidades desde los territorios.</t>
  </si>
  <si>
    <t>Vincular 1.000 personas en acciones de promoción de la convivencia pacífica y solidaria.</t>
  </si>
  <si>
    <t>Gestión para la convivencia</t>
  </si>
  <si>
    <t>en acciones de promoción de la convivencia pacífica y solidaria</t>
  </si>
  <si>
    <t>Vincular 1.000 personas en programas de convivencia interétnica.</t>
  </si>
  <si>
    <t>en programas de convivencia interétnica</t>
  </si>
  <si>
    <t>Vincular 1.000 personas en campañas de inspección, vigilancia y control urbanístico.</t>
  </si>
  <si>
    <t>Porcentaje de solicitudes sobre inspeccción, vigilancia y control para la convivencia intervenidas frente a las solicitadas</t>
  </si>
  <si>
    <t>en campañas de inspección, vigilancia y control urbanístico</t>
  </si>
  <si>
    <t>Bogotá, ciudad de memoria, paz y reconciliación.</t>
  </si>
  <si>
    <t>Vincular 4.000 personas con procesos de inclusión y convivencia entre comunidades receptoras y víctimas del conflicto (incluyendo la galería de la memoria).</t>
  </si>
  <si>
    <t>Inclusión social de las victimas de la violencia</t>
  </si>
  <si>
    <t>con procesos de inclusión y convivencia entre comunidades receptoras y víctimas del conflicto (incluyendo la galería de la memoria).</t>
  </si>
  <si>
    <t>Bogotá decide y protege el derecho fundamental a la salud de los intereses del  mercado y la corrupción.</t>
  </si>
  <si>
    <t>Vincular 3.400 personas en defensa de los derechos de salud.</t>
  </si>
  <si>
    <t>Personas vinculadas en exigibilidad de derecho a la salud</t>
  </si>
  <si>
    <t>Derecho a la salud publica</t>
  </si>
  <si>
    <t>en defensa de los derechos de salud.</t>
  </si>
  <si>
    <t>Fortalecimiento de la función administrativa y desarrollo institucional.</t>
  </si>
  <si>
    <t>Cubrir 9 ediles con pago de honorarios.</t>
  </si>
  <si>
    <t>Ediles con pago de honorarios cubierto</t>
  </si>
  <si>
    <t>Fortalecimiento a la gestión pública local</t>
  </si>
  <si>
    <t>Cubrir</t>
  </si>
  <si>
    <t>Ediles</t>
  </si>
  <si>
    <t>con pago de honorarios</t>
  </si>
  <si>
    <t>La meta está en ejecución</t>
  </si>
  <si>
    <t>Diseñar 1 estrategia para el
fortalecimiento de la función
administrativa e institucional.</t>
  </si>
  <si>
    <t>Estrategias realizadas de fortalecimiento institucional</t>
  </si>
  <si>
    <t>Diseñar</t>
  </si>
  <si>
    <t>Estrategia</t>
  </si>
  <si>
    <t>para el fortalecimiento de la función administrativa e institucional</t>
  </si>
  <si>
    <t>Una ciudad que supera la segregación y la discriminación: el ser humano en el centro de las preocupaciones del
desarrollo</t>
  </si>
  <si>
    <t>Un territorio que enfrenta el cambio climático y se ordena alrededor del agua</t>
  </si>
  <si>
    <t>Una Bogotá que defiende y fortalece lo público</t>
  </si>
  <si>
    <t>10. SDIS</t>
  </si>
  <si>
    <t>Adecuación , habilitación y dotación de jardines</t>
  </si>
  <si>
    <t>Protección integral a niños y niñas y adolescentes</t>
  </si>
  <si>
    <t>9. SALUD</t>
  </si>
  <si>
    <t>Promoción, prevención e intervención en salud</t>
  </si>
  <si>
    <t>4. EDUCACIÓN</t>
  </si>
  <si>
    <t>Validación Escolar</t>
  </si>
  <si>
    <t>Actividades Extraescolares</t>
  </si>
  <si>
    <t>Infraestructura y dotación escolar</t>
  </si>
  <si>
    <t>12. SECRETARÍA DE LA MUJER</t>
  </si>
  <si>
    <t>Espacios y procesos de participación ciudadana fortalecidos</t>
  </si>
  <si>
    <t>5. GOBIERNO</t>
  </si>
  <si>
    <t>Prevención, atención y gestión del conflicto en la localidad</t>
  </si>
  <si>
    <t>Protección  integral a personas y familias en situación de vulneración</t>
  </si>
  <si>
    <t>2. CULTURA Y RECREACIÓN</t>
  </si>
  <si>
    <t>Espacios artísticos y culturales</t>
  </si>
  <si>
    <t>Formación artística y cultural</t>
  </si>
  <si>
    <t>Promoción turística y posicionamiento de la localidad como destino turístico</t>
  </si>
  <si>
    <t>Eventos y actividades recreativas y deportivas</t>
  </si>
  <si>
    <t>Parques y escenarios deportivos</t>
  </si>
  <si>
    <t>N/A</t>
  </si>
  <si>
    <t>7. HABITAT</t>
  </si>
  <si>
    <t>Regulación legalización de predios y apoyo a la vivienda</t>
  </si>
  <si>
    <t>1. AMBIENTE</t>
  </si>
  <si>
    <t>Plantación y mantenimiento de arboles, jardines y especies vegetales</t>
  </si>
  <si>
    <t>Calidad ambiental y preservación del patrimonio natural</t>
  </si>
  <si>
    <t>Inspección, vigilancia y control(IVC) del sistema de salud</t>
  </si>
  <si>
    <t>8. MOVILIDAD</t>
  </si>
  <si>
    <t>Vías Locales</t>
  </si>
  <si>
    <t>Espacio Publico</t>
  </si>
  <si>
    <t>Gestión para la prevención y mitigación del riesgo</t>
  </si>
  <si>
    <t>Manejo integral de residuos sólidos</t>
  </si>
  <si>
    <t>Espacios para el control social</t>
  </si>
  <si>
    <t>Fortalecimiento institucional</t>
  </si>
</sst>
</file>

<file path=xl/styles.xml><?xml version="1.0" encoding="utf-8"?>
<styleSheet xmlns="http://schemas.openxmlformats.org/spreadsheetml/2006/main">
  <numFmts count="3">
    <numFmt numFmtId="165" formatCode="&quot;$ &quot;#,##0"/>
    <numFmt numFmtId="166" formatCode="_-* #,##0_-;\-* #,##0_-;_-* \-_-;_-@_-"/>
    <numFmt numFmtId="167" formatCode="#,##0.0"/>
  </numFmts>
  <fonts count="13">
    <font>
      <sz val="11"/>
      <color rgb="FF000000"/>
      <name val="Calibri"/>
      <family val="2"/>
      <charset val="1"/>
    </font>
    <font>
      <sz val="10"/>
      <name val="Calibri"/>
      <family val="2"/>
      <charset val="1"/>
    </font>
    <font>
      <sz val="10"/>
      <color rgb="FF000000"/>
      <name val="Arial Narrow"/>
      <family val="2"/>
      <charset val="1"/>
    </font>
    <font>
      <b/>
      <sz val="12"/>
      <color rgb="FFFFFFFF"/>
      <name val="Calibri"/>
      <family val="2"/>
      <charset val="1"/>
    </font>
    <font>
      <sz val="12"/>
      <color rgb="FF000000"/>
      <name val="Calibri"/>
      <family val="2"/>
      <charset val="1"/>
    </font>
    <font>
      <sz val="10"/>
      <color rgb="FF000000"/>
      <name val="Calibri"/>
      <family val="2"/>
      <charset val="1"/>
    </font>
    <font>
      <b/>
      <sz val="9"/>
      <color rgb="FF000000"/>
      <name val="Tahoma"/>
      <family val="2"/>
      <charset val="1"/>
    </font>
    <font>
      <b/>
      <sz val="8"/>
      <color rgb="FF000000"/>
      <name val="Tahoma"/>
      <family val="2"/>
      <charset val="1"/>
    </font>
    <font>
      <sz val="8"/>
      <color rgb="FF000000"/>
      <name val="Tahoma"/>
      <family val="2"/>
      <charset val="1"/>
    </font>
    <font>
      <sz val="9"/>
      <color rgb="FF000000"/>
      <name val="Tahoma"/>
      <family val="2"/>
      <charset val="1"/>
    </font>
    <font>
      <b/>
      <sz val="12"/>
      <color rgb="FFFF0000"/>
      <name val="Calibri"/>
      <family val="2"/>
      <charset val="1"/>
    </font>
    <font>
      <b/>
      <sz val="8"/>
      <color rgb="FF595959"/>
      <name val="Calibri"/>
      <family val="2"/>
      <charset val="1"/>
    </font>
    <font>
      <sz val="11"/>
      <color rgb="FF000000"/>
      <name val="Calibri"/>
      <family val="2"/>
      <charset val="1"/>
    </font>
  </fonts>
  <fills count="13">
    <fill>
      <patternFill patternType="none"/>
    </fill>
    <fill>
      <patternFill patternType="gray125"/>
    </fill>
    <fill>
      <patternFill patternType="solid">
        <fgColor rgb="FF254061"/>
        <bgColor rgb="FF1F4E79"/>
      </patternFill>
    </fill>
    <fill>
      <patternFill patternType="solid">
        <fgColor rgb="FF376091"/>
        <bgColor rgb="FF1F4E79"/>
      </patternFill>
    </fill>
    <fill>
      <patternFill patternType="solid">
        <fgColor rgb="FFFFFFFF"/>
        <bgColor rgb="FFFFFFCC"/>
      </patternFill>
    </fill>
    <fill>
      <patternFill patternType="solid">
        <fgColor rgb="FFF8CBAD"/>
        <bgColor rgb="FFDBDBDB"/>
      </patternFill>
    </fill>
    <fill>
      <patternFill patternType="solid">
        <fgColor rgb="FF1F4E79"/>
        <bgColor rgb="FF254061"/>
      </patternFill>
    </fill>
    <fill>
      <patternFill patternType="solid">
        <fgColor rgb="FF4472C4"/>
        <bgColor rgb="FF2E75B6"/>
      </patternFill>
    </fill>
    <fill>
      <patternFill patternType="solid">
        <fgColor rgb="FF2E75B6"/>
        <bgColor rgb="FF4472C4"/>
      </patternFill>
    </fill>
    <fill>
      <patternFill patternType="solid">
        <fgColor rgb="FFB4C7E7"/>
        <bgColor rgb="FF99CCFF"/>
      </patternFill>
    </fill>
    <fill>
      <patternFill patternType="solid">
        <fgColor rgb="FFDBDBDB"/>
        <bgColor rgb="FFF8CBAD"/>
      </patternFill>
    </fill>
    <fill>
      <patternFill patternType="solid">
        <fgColor rgb="FFA5A5A5"/>
        <bgColor rgb="FF9999FF"/>
      </patternFill>
    </fill>
    <fill>
      <patternFill patternType="solid">
        <fgColor rgb="FFED7D31"/>
        <bgColor rgb="FFFF8080"/>
      </patternFill>
    </fill>
  </fills>
  <borders count="22">
    <border>
      <left/>
      <right/>
      <top/>
      <bottom/>
      <diagonal/>
    </border>
    <border>
      <left/>
      <right/>
      <top/>
      <bottom style="thick">
        <color rgb="FF333300"/>
      </bottom>
      <diagonal/>
    </border>
    <border>
      <left style="thick">
        <color rgb="FF333300"/>
      </left>
      <right style="thick">
        <color rgb="FF333300"/>
      </right>
      <top style="thick">
        <color rgb="FF333300"/>
      </top>
      <bottom style="thick">
        <color rgb="FF333300"/>
      </bottom>
      <diagonal/>
    </border>
    <border>
      <left style="thick">
        <color rgb="FF333300"/>
      </left>
      <right/>
      <top/>
      <bottom style="thick">
        <color rgb="FF333300"/>
      </bottom>
      <diagonal/>
    </border>
    <border>
      <left style="thick">
        <color rgb="FF333300"/>
      </left>
      <right style="thick">
        <color rgb="FF333300"/>
      </right>
      <top/>
      <bottom style="thick">
        <color auto="1"/>
      </bottom>
      <diagonal/>
    </border>
    <border>
      <left style="thick">
        <color rgb="FF333333"/>
      </left>
      <right style="thick">
        <color rgb="FF333333"/>
      </right>
      <top style="thick">
        <color rgb="FF333333"/>
      </top>
      <bottom style="thick">
        <color rgb="FF333333"/>
      </bottom>
      <diagonal/>
    </border>
    <border>
      <left style="thick">
        <color rgb="FF333333"/>
      </left>
      <right style="thick">
        <color rgb="FF333333"/>
      </right>
      <top style="thick">
        <color rgb="FF333333"/>
      </top>
      <bottom/>
      <diagonal/>
    </border>
    <border>
      <left style="thick">
        <color auto="1"/>
      </left>
      <right style="thick">
        <color auto="1"/>
      </right>
      <top style="thick">
        <color auto="1"/>
      </top>
      <bottom style="thick">
        <color auto="1"/>
      </bottom>
      <diagonal/>
    </border>
    <border>
      <left style="thick">
        <color rgb="FF333300"/>
      </left>
      <right style="thick">
        <color rgb="FF333300"/>
      </right>
      <top style="thick">
        <color rgb="FF333300"/>
      </top>
      <bottom/>
      <diagonal/>
    </border>
    <border>
      <left style="thick">
        <color rgb="FF1A1A1A"/>
      </left>
      <right style="thick">
        <color rgb="FF1A1A1A"/>
      </right>
      <top style="thick">
        <color rgb="FF1A1A1A"/>
      </top>
      <bottom/>
      <diagonal/>
    </border>
    <border>
      <left style="thick">
        <color rgb="FF333300"/>
      </left>
      <right style="thick">
        <color auto="1"/>
      </right>
      <top style="thick">
        <color rgb="FF333300"/>
      </top>
      <bottom/>
      <diagonal/>
    </border>
    <border>
      <left style="thick">
        <color auto="1"/>
      </left>
      <right style="thick">
        <color auto="1"/>
      </right>
      <top style="thick">
        <color auto="1"/>
      </top>
      <bottom/>
      <diagonal/>
    </border>
    <border>
      <left style="thick">
        <color rgb="FF333300"/>
      </left>
      <right/>
      <top style="thick">
        <color rgb="FF333300"/>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rgb="FF333300"/>
      </left>
      <right style="thick">
        <color rgb="FF333300"/>
      </right>
      <top/>
      <bottom/>
      <diagonal/>
    </border>
    <border>
      <left style="thick">
        <color rgb="FF333300"/>
      </left>
      <right/>
      <top/>
      <bottom/>
      <diagonal/>
    </border>
    <border>
      <left/>
      <right style="thick">
        <color rgb="FF1A1A1A"/>
      </right>
      <top/>
      <bottom/>
      <diagonal/>
    </border>
    <border>
      <left style="thick">
        <color rgb="FF333300"/>
      </left>
      <right style="thick">
        <color auto="1"/>
      </right>
      <top/>
      <bottom/>
      <diagonal/>
    </border>
    <border>
      <left style="thick">
        <color auto="1"/>
      </left>
      <right style="thick">
        <color auto="1"/>
      </right>
      <top/>
      <bottom style="thick">
        <color auto="1"/>
      </bottom>
      <diagonal/>
    </border>
    <border>
      <left style="thick">
        <color rgb="FF1A1A1A"/>
      </left>
      <right style="thick">
        <color rgb="FF1A1A1A"/>
      </right>
      <top/>
      <bottom/>
      <diagonal/>
    </border>
    <border>
      <left/>
      <right style="thick">
        <color rgb="FF333300"/>
      </right>
      <top style="thick">
        <color rgb="FF333300"/>
      </top>
      <bottom/>
      <diagonal/>
    </border>
  </borders>
  <cellStyleXfs count="3">
    <xf numFmtId="0" fontId="0" fillId="0" borderId="0"/>
    <xf numFmtId="9" fontId="12" fillId="0" borderId="0"/>
    <xf numFmtId="166" fontId="12" fillId="0" borderId="0"/>
  </cellStyleXfs>
  <cellXfs count="114">
    <xf numFmtId="0" fontId="0" fillId="0" borderId="0" xfId="0"/>
    <xf numFmtId="3" fontId="3" fillId="3" borderId="4" xfId="2" applyNumberFormat="1" applyFont="1" applyFill="1" applyBorder="1" applyAlignment="1" applyProtection="1">
      <alignment horizontal="center" vertical="center" wrapText="1"/>
    </xf>
    <xf numFmtId="3" fontId="3" fillId="3" borderId="3" xfId="2" applyNumberFormat="1" applyFont="1" applyFill="1" applyBorder="1" applyAlignment="1" applyProtection="1">
      <alignment horizontal="center" vertical="center" wrapText="1"/>
    </xf>
    <xf numFmtId="3" fontId="3" fillId="2" borderId="3" xfId="2" applyNumberFormat="1" applyFont="1" applyFill="1" applyBorder="1" applyAlignment="1" applyProtection="1">
      <alignment horizontal="center" vertical="center" wrapText="1"/>
    </xf>
    <xf numFmtId="3" fontId="3" fillId="2" borderId="2" xfId="2" applyNumberFormat="1" applyFont="1" applyFill="1" applyBorder="1" applyAlignment="1" applyProtection="1">
      <alignment horizontal="center" vertical="center" wrapText="1"/>
    </xf>
    <xf numFmtId="3" fontId="3" fillId="3" borderId="2" xfId="2" applyNumberFormat="1" applyFont="1" applyFill="1" applyBorder="1" applyAlignment="1" applyProtection="1">
      <alignment horizontal="center" vertical="center" wrapText="1"/>
    </xf>
    <xf numFmtId="0" fontId="3" fillId="3" borderId="2" xfId="2" applyNumberFormat="1"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justify" vertical="center"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protection locked="0"/>
    </xf>
    <xf numFmtId="3" fontId="2" fillId="0" borderId="0" xfId="0" applyNumberFormat="1" applyFont="1" applyAlignment="1" applyProtection="1">
      <alignment vertical="center" wrapText="1"/>
      <protection locked="0"/>
    </xf>
    <xf numFmtId="3" fontId="3" fillId="3" borderId="3" xfId="2" applyNumberFormat="1" applyFont="1" applyFill="1" applyBorder="1" applyAlignment="1" applyProtection="1">
      <alignment vertical="center" wrapText="1"/>
    </xf>
    <xf numFmtId="0" fontId="3" fillId="2" borderId="2" xfId="2" applyNumberFormat="1" applyFont="1" applyFill="1" applyBorder="1" applyAlignment="1" applyProtection="1">
      <alignment horizontal="center" vertical="center" wrapText="1"/>
    </xf>
    <xf numFmtId="0" fontId="4" fillId="4" borderId="0" xfId="0" applyFont="1" applyFill="1" applyBorder="1" applyAlignment="1">
      <alignment vertical="center" wrapText="1"/>
    </xf>
    <xf numFmtId="0" fontId="3" fillId="2" borderId="5" xfId="2" applyNumberFormat="1" applyFont="1" applyFill="1" applyBorder="1" applyAlignment="1" applyProtection="1">
      <alignment horizontal="center" vertical="center" wrapText="1"/>
    </xf>
    <xf numFmtId="0" fontId="3" fillId="2" borderId="6" xfId="2" applyNumberFormat="1" applyFont="1" applyFill="1" applyBorder="1" applyAlignment="1" applyProtection="1">
      <alignment horizontal="center" vertical="center" wrapText="1"/>
    </xf>
    <xf numFmtId="0" fontId="3" fillId="5" borderId="7" xfId="2" applyNumberFormat="1" applyFont="1" applyFill="1" applyBorder="1" applyAlignment="1" applyProtection="1">
      <alignment horizontal="center" vertical="center" wrapText="1"/>
    </xf>
    <xf numFmtId="0" fontId="3" fillId="6" borderId="7" xfId="2" applyNumberFormat="1" applyFont="1" applyFill="1" applyBorder="1" applyAlignment="1" applyProtection="1">
      <alignment horizontal="center" vertical="center" wrapText="1"/>
    </xf>
    <xf numFmtId="0" fontId="3" fillId="2" borderId="8" xfId="2" applyNumberFormat="1" applyFont="1" applyFill="1" applyBorder="1" applyAlignment="1" applyProtection="1">
      <alignment horizontal="center" vertical="center" wrapText="1"/>
    </xf>
    <xf numFmtId="3" fontId="3" fillId="2" borderId="8" xfId="2" applyNumberFormat="1" applyFont="1" applyFill="1" applyBorder="1" applyAlignment="1" applyProtection="1">
      <alignment horizontal="center" vertical="center" wrapText="1"/>
    </xf>
    <xf numFmtId="0" fontId="3" fillId="2" borderId="8" xfId="2" applyNumberFormat="1" applyFont="1" applyFill="1" applyBorder="1" applyAlignment="1" applyProtection="1">
      <alignment horizontal="center" vertical="center" wrapText="1"/>
    </xf>
    <xf numFmtId="0" fontId="3" fillId="3" borderId="8" xfId="2" applyNumberFormat="1" applyFont="1" applyFill="1" applyBorder="1" applyAlignment="1" applyProtection="1">
      <alignment horizontal="center" vertical="center" wrapText="1"/>
    </xf>
    <xf numFmtId="3" fontId="3" fillId="3" borderId="8" xfId="2" applyNumberFormat="1" applyFont="1" applyFill="1" applyBorder="1" applyAlignment="1" applyProtection="1">
      <alignment horizontal="center" vertical="center" wrapText="1"/>
    </xf>
    <xf numFmtId="3" fontId="3" fillId="2" borderId="8" xfId="2" applyNumberFormat="1" applyFont="1" applyFill="1" applyBorder="1" applyAlignment="1" applyProtection="1">
      <alignment horizontal="center" vertical="center" wrapText="1"/>
    </xf>
    <xf numFmtId="3" fontId="3" fillId="7" borderId="8" xfId="2" applyNumberFormat="1" applyFont="1" applyFill="1" applyBorder="1" applyAlignment="1" applyProtection="1">
      <alignment horizontal="center" vertical="center" wrapText="1"/>
    </xf>
    <xf numFmtId="3" fontId="3" fillId="3" borderId="8" xfId="2" applyNumberFormat="1" applyFont="1" applyFill="1" applyBorder="1" applyAlignment="1" applyProtection="1">
      <alignment horizontal="center" vertical="center" wrapText="1"/>
    </xf>
    <xf numFmtId="3" fontId="3" fillId="8" borderId="7" xfId="2" applyNumberFormat="1" applyFont="1" applyFill="1" applyBorder="1" applyAlignment="1" applyProtection="1">
      <alignment horizontal="center" vertical="center" wrapText="1"/>
    </xf>
    <xf numFmtId="3" fontId="3" fillId="8" borderId="7" xfId="2" applyNumberFormat="1" applyFont="1" applyFill="1" applyBorder="1" applyAlignment="1" applyProtection="1">
      <alignment vertical="center" wrapText="1"/>
    </xf>
    <xf numFmtId="0" fontId="1" fillId="0" borderId="8" xfId="0" applyFont="1" applyBorder="1" applyAlignment="1" applyProtection="1">
      <alignment horizontal="center" vertical="center" wrapText="1"/>
    </xf>
    <xf numFmtId="0" fontId="1" fillId="0" borderId="8" xfId="0" applyFont="1" applyBorder="1" applyAlignment="1" applyProtection="1">
      <alignment vertical="center"/>
    </xf>
    <xf numFmtId="0" fontId="1" fillId="0" borderId="8" xfId="0" applyFont="1" applyBorder="1" applyAlignment="1" applyProtection="1">
      <alignment vertical="center" wrapText="1"/>
    </xf>
    <xf numFmtId="1" fontId="1" fillId="0" borderId="8" xfId="2" applyNumberFormat="1" applyFont="1" applyBorder="1" applyAlignment="1" applyProtection="1">
      <alignment horizontal="center" vertical="center" wrapText="1"/>
    </xf>
    <xf numFmtId="0" fontId="1" fillId="0" borderId="8" xfId="0" applyFont="1" applyBorder="1" applyAlignment="1" applyProtection="1">
      <alignment horizontal="center" vertical="center"/>
    </xf>
    <xf numFmtId="0" fontId="1" fillId="0" borderId="8" xfId="0" applyFont="1" applyBorder="1" applyAlignment="1" applyProtection="1">
      <alignment vertical="center" wrapText="1"/>
    </xf>
    <xf numFmtId="3" fontId="1" fillId="0" borderId="8" xfId="0" applyNumberFormat="1" applyFont="1" applyBorder="1" applyAlignment="1" applyProtection="1">
      <alignment horizontal="center" vertical="center"/>
    </xf>
    <xf numFmtId="9" fontId="1" fillId="0" borderId="8" xfId="0" applyNumberFormat="1" applyFont="1" applyBorder="1" applyAlignment="1" applyProtection="1">
      <alignment horizontal="center" vertical="center"/>
    </xf>
    <xf numFmtId="9" fontId="1" fillId="0" borderId="8" xfId="1" applyFont="1" applyBorder="1" applyAlignment="1" applyProtection="1">
      <alignment horizontal="center" vertical="center"/>
    </xf>
    <xf numFmtId="3" fontId="1" fillId="4" borderId="8" xfId="0" applyNumberFormat="1" applyFont="1" applyFill="1" applyBorder="1" applyAlignment="1" applyProtection="1">
      <alignment horizontal="center" vertical="center"/>
    </xf>
    <xf numFmtId="3" fontId="1" fillId="9" borderId="8" xfId="0" applyNumberFormat="1" applyFont="1" applyFill="1" applyBorder="1" applyAlignment="1" applyProtection="1">
      <alignment horizontal="center" vertical="center"/>
    </xf>
    <xf numFmtId="3" fontId="1" fillId="9" borderId="9" xfId="0" applyNumberFormat="1" applyFont="1" applyFill="1" applyBorder="1" applyAlignment="1" applyProtection="1">
      <alignment horizontal="center" vertical="center"/>
    </xf>
    <xf numFmtId="165" fontId="1" fillId="0" borderId="8" xfId="0" applyNumberFormat="1" applyFont="1" applyBorder="1" applyAlignment="1" applyProtection="1">
      <alignment vertical="center"/>
    </xf>
    <xf numFmtId="165" fontId="1" fillId="9" borderId="8" xfId="0" applyNumberFormat="1" applyFont="1" applyFill="1" applyBorder="1" applyAlignment="1" applyProtection="1">
      <alignment vertical="center"/>
    </xf>
    <xf numFmtId="165" fontId="1" fillId="0" borderId="10" xfId="0" applyNumberFormat="1" applyFont="1" applyBorder="1" applyAlignment="1" applyProtection="1">
      <alignment vertical="center"/>
    </xf>
    <xf numFmtId="165" fontId="1" fillId="0" borderId="7" xfId="0" applyNumberFormat="1" applyFont="1" applyBorder="1" applyAlignment="1" applyProtection="1">
      <alignment vertical="center"/>
    </xf>
    <xf numFmtId="165" fontId="1" fillId="0" borderId="7" xfId="0" applyNumberFormat="1" applyFont="1" applyBorder="1" applyAlignment="1" applyProtection="1">
      <alignment vertical="center" wrapText="1"/>
    </xf>
    <xf numFmtId="3" fontId="1" fillId="0" borderId="11" xfId="0" applyNumberFormat="1" applyFont="1" applyBorder="1" applyAlignment="1" applyProtection="1">
      <alignment vertical="center" wrapText="1"/>
    </xf>
    <xf numFmtId="0" fontId="1" fillId="0" borderId="0" xfId="0" applyFont="1" applyProtection="1">
      <protection locked="0"/>
    </xf>
    <xf numFmtId="3" fontId="1" fillId="10" borderId="8" xfId="0" applyNumberFormat="1"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165" fontId="1" fillId="0" borderId="11" xfId="0" applyNumberFormat="1" applyFont="1" applyBorder="1" applyAlignment="1" applyProtection="1">
      <alignment vertical="center"/>
    </xf>
    <xf numFmtId="0" fontId="1" fillId="0" borderId="12" xfId="0" applyFont="1" applyBorder="1" applyAlignment="1" applyProtection="1">
      <alignment vertical="center" wrapText="1"/>
    </xf>
    <xf numFmtId="0" fontId="1" fillId="0" borderId="7" xfId="0" applyFont="1" applyBorder="1" applyAlignment="1" applyProtection="1">
      <alignment vertical="center" wrapText="1"/>
    </xf>
    <xf numFmtId="0" fontId="1" fillId="0" borderId="7" xfId="0" applyFont="1" applyBorder="1" applyAlignment="1" applyProtection="1">
      <alignment vertical="center"/>
    </xf>
    <xf numFmtId="9" fontId="1" fillId="0" borderId="7" xfId="0" applyNumberFormat="1" applyFont="1" applyBorder="1" applyAlignment="1" applyProtection="1">
      <alignment horizontal="center" vertical="center"/>
    </xf>
    <xf numFmtId="9" fontId="1" fillId="0" borderId="7" xfId="1" applyFont="1" applyBorder="1" applyAlignment="1" applyProtection="1">
      <alignment horizontal="center" vertical="center"/>
    </xf>
    <xf numFmtId="0" fontId="1" fillId="0" borderId="7" xfId="0" applyFont="1" applyBorder="1" applyAlignment="1" applyProtection="1">
      <alignment horizontal="center" vertical="center"/>
    </xf>
    <xf numFmtId="3" fontId="1" fillId="0" borderId="7" xfId="0" applyNumberFormat="1" applyFont="1" applyBorder="1" applyAlignment="1" applyProtection="1">
      <alignment horizontal="center" vertical="center"/>
    </xf>
    <xf numFmtId="3" fontId="1" fillId="4" borderId="7" xfId="0" applyNumberFormat="1" applyFont="1" applyFill="1" applyBorder="1" applyAlignment="1" applyProtection="1">
      <alignment horizontal="center" vertical="center"/>
    </xf>
    <xf numFmtId="3" fontId="1" fillId="9" borderId="7" xfId="0" applyNumberFormat="1" applyFont="1" applyFill="1" applyBorder="1" applyAlignment="1" applyProtection="1">
      <alignment horizontal="center" vertical="center"/>
    </xf>
    <xf numFmtId="3" fontId="1" fillId="0" borderId="13" xfId="0" applyNumberFormat="1" applyFont="1" applyBorder="1" applyAlignment="1" applyProtection="1">
      <alignment horizontal="center" vertical="center"/>
    </xf>
    <xf numFmtId="3" fontId="1" fillId="9" borderId="14" xfId="0" applyNumberFormat="1" applyFont="1" applyFill="1" applyBorder="1" applyAlignment="1" applyProtection="1">
      <alignment horizontal="center" vertical="center"/>
    </xf>
    <xf numFmtId="165" fontId="1" fillId="9" borderId="7" xfId="0" applyNumberFormat="1" applyFont="1" applyFill="1" applyBorder="1" applyAlignment="1" applyProtection="1">
      <alignment vertical="center"/>
    </xf>
    <xf numFmtId="3" fontId="1" fillId="0" borderId="7" xfId="0" applyNumberFormat="1" applyFont="1" applyBorder="1" applyAlignment="1" applyProtection="1">
      <alignment vertical="center" wrapText="1"/>
    </xf>
    <xf numFmtId="0" fontId="1" fillId="0" borderId="15" xfId="0" applyFont="1" applyBorder="1" applyAlignment="1" applyProtection="1">
      <alignment vertical="center" wrapText="1"/>
    </xf>
    <xf numFmtId="0" fontId="1" fillId="0" borderId="15" xfId="0" applyFont="1" applyBorder="1" applyAlignment="1" applyProtection="1">
      <alignment vertical="center"/>
    </xf>
    <xf numFmtId="9" fontId="1" fillId="0" borderId="15" xfId="0" applyNumberFormat="1" applyFont="1" applyBorder="1" applyAlignment="1" applyProtection="1">
      <alignment horizontal="center" vertical="center"/>
    </xf>
    <xf numFmtId="9" fontId="1" fillId="0" borderId="15" xfId="1" applyFont="1" applyBorder="1" applyAlignment="1" applyProtection="1">
      <alignment horizontal="center" vertical="center"/>
    </xf>
    <xf numFmtId="0" fontId="1" fillId="0" borderId="15" xfId="0" applyFont="1" applyBorder="1" applyAlignment="1" applyProtection="1">
      <alignment horizontal="center" vertical="center"/>
    </xf>
    <xf numFmtId="3" fontId="1" fillId="0" borderId="15" xfId="0" applyNumberFormat="1" applyFont="1" applyBorder="1" applyAlignment="1" applyProtection="1">
      <alignment horizontal="center" vertical="center"/>
    </xf>
    <xf numFmtId="3" fontId="1" fillId="4" borderId="15" xfId="0" applyNumberFormat="1" applyFont="1" applyFill="1" applyBorder="1" applyAlignment="1" applyProtection="1">
      <alignment horizontal="center" vertical="center"/>
    </xf>
    <xf numFmtId="3" fontId="1" fillId="9" borderId="15" xfId="0" applyNumberFormat="1" applyFont="1" applyFill="1" applyBorder="1" applyAlignment="1" applyProtection="1">
      <alignment horizontal="center" vertical="center"/>
    </xf>
    <xf numFmtId="3" fontId="1" fillId="0" borderId="16" xfId="0" applyNumberFormat="1" applyFont="1" applyBorder="1" applyAlignment="1" applyProtection="1">
      <alignment horizontal="center" vertical="center"/>
    </xf>
    <xf numFmtId="3" fontId="1" fillId="9" borderId="17" xfId="0" applyNumberFormat="1" applyFont="1" applyFill="1" applyBorder="1" applyAlignment="1" applyProtection="1">
      <alignment horizontal="center" vertical="center"/>
    </xf>
    <xf numFmtId="165" fontId="1" fillId="0" borderId="15" xfId="0" applyNumberFormat="1" applyFont="1" applyBorder="1" applyAlignment="1" applyProtection="1">
      <alignment vertical="center"/>
    </xf>
    <xf numFmtId="165" fontId="1" fillId="9" borderId="15" xfId="0" applyNumberFormat="1" applyFont="1" applyFill="1" applyBorder="1" applyAlignment="1" applyProtection="1">
      <alignment vertical="center"/>
    </xf>
    <xf numFmtId="165" fontId="1" fillId="0" borderId="18" xfId="0" applyNumberFormat="1" applyFont="1" applyBorder="1" applyAlignment="1" applyProtection="1">
      <alignment vertical="center"/>
    </xf>
    <xf numFmtId="165" fontId="1" fillId="0" borderId="19" xfId="0" applyNumberFormat="1" applyFont="1" applyBorder="1" applyAlignment="1" applyProtection="1">
      <alignment vertical="center"/>
    </xf>
    <xf numFmtId="3" fontId="1" fillId="9" borderId="20" xfId="0" applyNumberFormat="1" applyFont="1" applyFill="1" applyBorder="1" applyAlignment="1" applyProtection="1">
      <alignment horizontal="center" vertical="center"/>
    </xf>
    <xf numFmtId="165" fontId="5" fillId="0" borderId="0" xfId="0" applyNumberFormat="1" applyFont="1" applyAlignment="1" applyProtection="1">
      <alignment horizontal="center" vertical="center"/>
      <protection locked="0"/>
    </xf>
    <xf numFmtId="165" fontId="1" fillId="0" borderId="8" xfId="2" applyNumberFormat="1" applyFont="1" applyBorder="1" applyAlignment="1" applyProtection="1">
      <alignment vertical="center"/>
    </xf>
    <xf numFmtId="166" fontId="5" fillId="0" borderId="7" xfId="2" applyFont="1" applyBorder="1" applyAlignment="1" applyProtection="1">
      <alignment horizontal="right" vertical="center"/>
      <protection locked="0"/>
    </xf>
    <xf numFmtId="167" fontId="1" fillId="0" borderId="8" xfId="0" applyNumberFormat="1" applyFont="1" applyBorder="1" applyAlignment="1" applyProtection="1">
      <alignment horizontal="center" vertical="center"/>
    </xf>
    <xf numFmtId="4" fontId="1" fillId="0" borderId="8" xfId="0" applyNumberFormat="1" applyFont="1" applyBorder="1" applyAlignment="1" applyProtection="1">
      <alignment horizontal="center" vertical="center"/>
    </xf>
    <xf numFmtId="4" fontId="1" fillId="4" borderId="12" xfId="0" applyNumberFormat="1" applyFont="1" applyFill="1" applyBorder="1" applyAlignment="1" applyProtection="1">
      <alignment horizontal="center" vertical="center"/>
    </xf>
    <xf numFmtId="167" fontId="1" fillId="9" borderId="7" xfId="0" applyNumberFormat="1" applyFont="1" applyFill="1" applyBorder="1" applyAlignment="1" applyProtection="1">
      <alignment horizontal="center" vertical="center"/>
    </xf>
    <xf numFmtId="3" fontId="1" fillId="0" borderId="21" xfId="0" applyNumberFormat="1" applyFont="1" applyBorder="1" applyAlignment="1" applyProtection="1">
      <alignment horizontal="center" vertical="center"/>
    </xf>
    <xf numFmtId="4" fontId="1" fillId="4" borderId="8" xfId="0" applyNumberFormat="1" applyFont="1" applyFill="1" applyBorder="1" applyAlignment="1" applyProtection="1">
      <alignment horizontal="center" vertical="center"/>
    </xf>
    <xf numFmtId="4" fontId="1" fillId="9" borderId="9" xfId="0" applyNumberFormat="1" applyFont="1" applyFill="1" applyBorder="1" applyAlignment="1" applyProtection="1">
      <alignment horizontal="center" vertical="center"/>
    </xf>
    <xf numFmtId="165" fontId="1" fillId="0" borderId="8" xfId="0" applyNumberFormat="1" applyFont="1" applyBorder="1" applyAlignment="1" applyProtection="1">
      <alignment vertical="center" wrapText="1"/>
    </xf>
    <xf numFmtId="3" fontId="5" fillId="9" borderId="0" xfId="0" applyNumberFormat="1" applyFont="1" applyFill="1" applyAlignment="1">
      <alignment horizontal="center" vertical="center"/>
    </xf>
    <xf numFmtId="0" fontId="1" fillId="11" borderId="8" xfId="0" applyFont="1" applyFill="1" applyBorder="1" applyAlignment="1" applyProtection="1">
      <alignment vertical="center"/>
    </xf>
    <xf numFmtId="0" fontId="1" fillId="4" borderId="8" xfId="0" applyFont="1" applyFill="1" applyBorder="1" applyAlignment="1" applyProtection="1">
      <alignment vertical="center" wrapText="1"/>
    </xf>
    <xf numFmtId="3" fontId="1" fillId="12" borderId="9" xfId="0" applyNumberFormat="1" applyFont="1" applyFill="1" applyBorder="1" applyAlignment="1" applyProtection="1">
      <alignment horizontal="center" vertical="center"/>
    </xf>
    <xf numFmtId="0" fontId="1" fillId="0" borderId="7" xfId="0" applyFont="1" applyBorder="1" applyAlignment="1" applyProtection="1">
      <alignment horizontal="center" vertical="center" wrapText="1"/>
    </xf>
    <xf numFmtId="0" fontId="1" fillId="0" borderId="7" xfId="0" applyFont="1" applyBorder="1" applyAlignment="1" applyProtection="1">
      <alignment vertical="center" wrapText="1"/>
    </xf>
    <xf numFmtId="1" fontId="1" fillId="0" borderId="7" xfId="2" applyNumberFormat="1" applyFont="1" applyBorder="1" applyAlignment="1" applyProtection="1">
      <alignment horizontal="center" vertical="center" wrapText="1"/>
    </xf>
    <xf numFmtId="4" fontId="1" fillId="0" borderId="7" xfId="0" applyNumberFormat="1" applyFont="1" applyBorder="1" applyAlignment="1" applyProtection="1">
      <alignment horizontal="center" vertical="center"/>
    </xf>
    <xf numFmtId="0" fontId="3" fillId="2" borderId="0" xfId="2" applyNumberFormat="1" applyFont="1" applyFill="1" applyBorder="1" applyAlignment="1" applyProtection="1">
      <alignment horizontal="center" vertical="center" wrapText="1"/>
    </xf>
    <xf numFmtId="0" fontId="10" fillId="2" borderId="2" xfId="2" applyNumberFormat="1" applyFont="1" applyFill="1" applyBorder="1" applyAlignment="1" applyProtection="1">
      <alignment horizontal="center" vertical="center" wrapText="1"/>
    </xf>
    <xf numFmtId="0" fontId="10" fillId="2" borderId="5" xfId="2" applyNumberFormat="1" applyFont="1" applyFill="1" applyBorder="1" applyAlignment="1" applyProtection="1">
      <alignment horizontal="center" vertical="center" wrapText="1"/>
    </xf>
    <xf numFmtId="0" fontId="10" fillId="2" borderId="6" xfId="2" applyNumberFormat="1" applyFont="1" applyFill="1" applyBorder="1" applyAlignment="1" applyProtection="1">
      <alignment horizontal="center" vertical="center" wrapText="1"/>
    </xf>
    <xf numFmtId="0" fontId="10" fillId="5" borderId="7" xfId="2" applyNumberFormat="1" applyFont="1" applyFill="1" applyBorder="1" applyAlignment="1" applyProtection="1">
      <alignment horizontal="center" vertical="center" wrapText="1"/>
    </xf>
    <xf numFmtId="0" fontId="10" fillId="6" borderId="7" xfId="2" applyNumberFormat="1" applyFont="1" applyFill="1" applyBorder="1" applyAlignment="1" applyProtection="1">
      <alignment horizontal="center" vertical="center" wrapText="1"/>
    </xf>
    <xf numFmtId="0" fontId="10" fillId="2" borderId="8" xfId="2" applyNumberFormat="1" applyFont="1" applyFill="1" applyBorder="1" applyAlignment="1" applyProtection="1">
      <alignment horizontal="center" vertical="center" wrapText="1"/>
    </xf>
    <xf numFmtId="3" fontId="10" fillId="2" borderId="8" xfId="2" applyNumberFormat="1" applyFont="1" applyFill="1" applyBorder="1" applyAlignment="1" applyProtection="1">
      <alignment horizontal="center" vertical="center" wrapText="1"/>
    </xf>
    <xf numFmtId="0" fontId="10" fillId="2" borderId="8" xfId="2" applyNumberFormat="1" applyFont="1" applyFill="1" applyBorder="1" applyAlignment="1" applyProtection="1">
      <alignment horizontal="center" vertical="center" wrapText="1"/>
    </xf>
    <xf numFmtId="0" fontId="10" fillId="3" borderId="8" xfId="2" applyNumberFormat="1" applyFont="1" applyFill="1" applyBorder="1" applyAlignment="1" applyProtection="1">
      <alignment horizontal="center" vertical="center" wrapText="1"/>
    </xf>
    <xf numFmtId="0" fontId="11" fillId="0" borderId="7" xfId="2" applyNumberFormat="1" applyFont="1" applyBorder="1" applyAlignment="1">
      <alignment horizontal="center" vertical="center" wrapText="1"/>
    </xf>
  </cellXfs>
  <cellStyles count="3">
    <cellStyle name="Normal" xfId="0" builtinId="0"/>
    <cellStyle name="Porcentual" xfId="1" builtinId="5"/>
    <cellStyle name="TableStyleLight1" xfId="2" customBuiltin="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376091"/>
      <rgbColor rgb="FFB4C7E7"/>
      <rgbColor rgb="FF808080"/>
      <rgbColor rgb="FF9999FF"/>
      <rgbColor rgb="FF993366"/>
      <rgbColor rgb="FFFFFFCC"/>
      <rgbColor rgb="FFCCFFFF"/>
      <rgbColor rgb="FF660066"/>
      <rgbColor rgb="FFFF8080"/>
      <rgbColor rgb="FF2E75B6"/>
      <rgbColor rgb="FFDBDBDB"/>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4472C4"/>
      <rgbColor rgb="FF33CCCC"/>
      <rgbColor rgb="FF99CC00"/>
      <rgbColor rgb="FFFFCC00"/>
      <rgbColor rgb="FFFF9900"/>
      <rgbColor rgb="FFED7D31"/>
      <rgbColor rgb="FF595959"/>
      <rgbColor rgb="FFA5A5A5"/>
      <rgbColor rgb="FF1F4E79"/>
      <rgbColor rgb="FF339966"/>
      <rgbColor rgb="FF1A1A1A"/>
      <rgbColor rgb="FF333300"/>
      <rgbColor rgb="FF993300"/>
      <rgbColor rgb="FF993366"/>
      <rgbColor rgb="FF254061"/>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AMK73"/>
  <sheetViews>
    <sheetView topLeftCell="D1" zoomScaleNormal="100" workbookViewId="0">
      <selection activeCell="D1" sqref="D1"/>
    </sheetView>
  </sheetViews>
  <sheetFormatPr baseColWidth="10" defaultColWidth="9.140625" defaultRowHeight="15"/>
  <cols>
    <col min="1" max="1" width="0" style="8" hidden="1"/>
    <col min="2" max="2" width="0" style="9" hidden="1"/>
    <col min="3" max="3" width="0" style="8" hidden="1"/>
    <col min="4" max="4" width="11" style="10"/>
    <col min="5" max="5" width="0" style="8" hidden="1"/>
    <col min="6" max="6" width="0" style="10" hidden="1"/>
    <col min="7" max="7" width="11" style="11"/>
    <col min="8" max="8" width="11" style="12"/>
    <col min="9" max="9" width="0" style="13" hidden="1"/>
    <col min="10" max="10" width="11" style="14"/>
    <col min="11" max="11" width="11" style="13"/>
    <col min="12" max="12" width="11" style="14"/>
    <col min="13" max="13" width="0" style="13" hidden="1"/>
    <col min="14" max="14" width="0" style="14" hidden="1"/>
    <col min="15" max="15" width="0" style="15" hidden="1"/>
    <col min="16" max="18" width="0" style="11" hidden="1"/>
    <col min="19" max="19" width="0" style="14" hidden="1"/>
    <col min="20" max="20" width="11" style="13"/>
    <col min="21" max="26" width="0" style="13" hidden="1"/>
    <col min="27" max="53" width="0" style="15" hidden="1"/>
    <col min="54" max="54" width="0" style="16" hidden="1"/>
    <col min="55" max="55" width="0" style="15" hidden="1"/>
    <col min="56" max="57" width="0" style="9" hidden="1"/>
    <col min="58" max="256" width="11" style="9"/>
    <col min="257" max="259" width="0" style="9" hidden="1"/>
    <col min="260" max="260" width="11" style="9"/>
    <col min="261" max="262" width="0" style="9" hidden="1"/>
    <col min="263" max="264" width="11" style="9"/>
    <col min="265" max="265" width="0" style="9" hidden="1"/>
    <col min="266" max="268" width="11" style="9"/>
    <col min="269" max="275" width="0" style="9" hidden="1"/>
    <col min="276" max="276" width="11" style="9"/>
    <col min="277" max="313" width="0" style="9" hidden="1"/>
    <col min="314" max="512" width="11" style="9"/>
    <col min="513" max="515" width="0" style="9" hidden="1"/>
    <col min="516" max="516" width="11" style="9"/>
    <col min="517" max="518" width="0" style="9" hidden="1"/>
    <col min="519" max="520" width="11" style="9"/>
    <col min="521" max="521" width="0" style="9" hidden="1"/>
    <col min="522" max="524" width="11" style="9"/>
    <col min="525" max="531" width="0" style="9" hidden="1"/>
    <col min="532" max="532" width="11" style="9"/>
    <col min="533" max="569" width="0" style="9" hidden="1"/>
    <col min="570" max="768" width="11" style="9"/>
    <col min="769" max="771" width="0" style="9" hidden="1"/>
    <col min="772" max="772" width="11" style="9"/>
    <col min="773" max="774" width="0" style="9" hidden="1"/>
    <col min="775" max="776" width="11" style="9"/>
    <col min="777" max="777" width="0" style="9" hidden="1"/>
    <col min="778" max="780" width="11" style="9"/>
    <col min="781" max="787" width="0" style="9" hidden="1"/>
    <col min="788" max="788" width="11" style="9"/>
    <col min="789" max="825" width="0" style="9" hidden="1"/>
    <col min="826" max="1025" width="11" style="9"/>
  </cols>
  <sheetData>
    <row r="1" spans="1:55" s="19" customFormat="1" ht="23.25" customHeight="1">
      <c r="A1" s="7" t="s">
        <v>0</v>
      </c>
      <c r="B1" s="7"/>
      <c r="C1" s="7"/>
      <c r="D1" s="7"/>
      <c r="E1" s="7"/>
      <c r="F1" s="7"/>
      <c r="G1" s="7"/>
      <c r="H1" s="7"/>
      <c r="I1" s="7"/>
      <c r="J1" s="7"/>
      <c r="K1" s="7"/>
      <c r="L1" s="7"/>
      <c r="M1" s="7"/>
      <c r="N1" s="7"/>
      <c r="O1" s="7"/>
      <c r="P1" s="7"/>
      <c r="Q1" s="7"/>
      <c r="R1" s="7"/>
      <c r="S1" s="7"/>
      <c r="T1" s="6" t="s">
        <v>1</v>
      </c>
      <c r="U1" s="6"/>
      <c r="V1" s="6"/>
      <c r="W1" s="6"/>
      <c r="X1" s="6"/>
      <c r="Y1" s="6"/>
      <c r="Z1" s="6"/>
      <c r="AA1" s="5" t="s">
        <v>2</v>
      </c>
      <c r="AB1" s="5"/>
      <c r="AC1" s="5"/>
      <c r="AD1" s="5"/>
      <c r="AE1" s="5"/>
      <c r="AF1" s="4" t="s">
        <v>3</v>
      </c>
      <c r="AG1" s="4"/>
      <c r="AH1" s="4"/>
      <c r="AI1" s="4"/>
      <c r="AJ1" s="4"/>
      <c r="AK1" s="5" t="s">
        <v>4</v>
      </c>
      <c r="AL1" s="5"/>
      <c r="AM1" s="5"/>
      <c r="AN1" s="5"/>
      <c r="AO1" s="5"/>
      <c r="AP1" s="3" t="s">
        <v>5</v>
      </c>
      <c r="AQ1" s="3"/>
      <c r="AR1" s="3"/>
      <c r="AS1" s="3"/>
      <c r="AT1" s="3"/>
      <c r="AU1" s="2" t="s">
        <v>6</v>
      </c>
      <c r="AV1" s="2"/>
      <c r="AW1" s="2"/>
      <c r="AX1" s="2"/>
      <c r="AY1" s="2"/>
      <c r="AZ1" s="1" t="s">
        <v>7</v>
      </c>
      <c r="BA1" s="1"/>
      <c r="BB1" s="17"/>
      <c r="BC1" s="18"/>
    </row>
    <row r="2" spans="1:55" s="19" customFormat="1" ht="54" customHeight="1">
      <c r="A2" s="18" t="s">
        <v>8</v>
      </c>
      <c r="B2" s="18" t="s">
        <v>9</v>
      </c>
      <c r="C2" s="20" t="s">
        <v>10</v>
      </c>
      <c r="D2" s="18" t="s">
        <v>11</v>
      </c>
      <c r="E2" s="20" t="s">
        <v>12</v>
      </c>
      <c r="F2" s="18" t="s">
        <v>13</v>
      </c>
      <c r="G2" s="20" t="s">
        <v>14</v>
      </c>
      <c r="H2" s="20" t="s">
        <v>15</v>
      </c>
      <c r="I2" s="21" t="s">
        <v>16</v>
      </c>
      <c r="J2" s="21" t="s">
        <v>17</v>
      </c>
      <c r="K2" s="22" t="s">
        <v>18</v>
      </c>
      <c r="L2" s="23" t="s">
        <v>19</v>
      </c>
      <c r="M2" s="23" t="s">
        <v>20</v>
      </c>
      <c r="N2" s="24" t="s">
        <v>21</v>
      </c>
      <c r="O2" s="25" t="s">
        <v>22</v>
      </c>
      <c r="P2" s="26" t="s">
        <v>23</v>
      </c>
      <c r="Q2" s="26" t="s">
        <v>24</v>
      </c>
      <c r="R2" s="26" t="s">
        <v>25</v>
      </c>
      <c r="S2" s="26" t="s">
        <v>26</v>
      </c>
      <c r="T2" s="27" t="s">
        <v>27</v>
      </c>
      <c r="U2" s="27" t="s">
        <v>28</v>
      </c>
      <c r="V2" s="27" t="s">
        <v>29</v>
      </c>
      <c r="W2" s="26" t="s">
        <v>30</v>
      </c>
      <c r="X2" s="27" t="s">
        <v>31</v>
      </c>
      <c r="Y2" s="26" t="s">
        <v>32</v>
      </c>
      <c r="Z2" s="26" t="s">
        <v>33</v>
      </c>
      <c r="AA2" s="28">
        <v>2013</v>
      </c>
      <c r="AB2" s="28">
        <v>2014</v>
      </c>
      <c r="AC2" s="28">
        <v>2015</v>
      </c>
      <c r="AD2" s="28">
        <v>2016</v>
      </c>
      <c r="AE2" s="28" t="s">
        <v>34</v>
      </c>
      <c r="AF2" s="25">
        <v>2013</v>
      </c>
      <c r="AG2" s="29">
        <v>2014</v>
      </c>
      <c r="AH2" s="30">
        <v>2015</v>
      </c>
      <c r="AI2" s="25">
        <v>2016</v>
      </c>
      <c r="AJ2" s="29" t="s">
        <v>35</v>
      </c>
      <c r="AK2" s="31">
        <v>2013</v>
      </c>
      <c r="AL2" s="31">
        <v>2014</v>
      </c>
      <c r="AM2" s="28">
        <v>2015</v>
      </c>
      <c r="AN2" s="28">
        <v>2016</v>
      </c>
      <c r="AO2" s="28" t="s">
        <v>36</v>
      </c>
      <c r="AP2" s="25">
        <v>2013</v>
      </c>
      <c r="AQ2" s="29">
        <v>2014</v>
      </c>
      <c r="AR2" s="30">
        <v>2015</v>
      </c>
      <c r="AS2" s="25">
        <v>2016</v>
      </c>
      <c r="AT2" s="25" t="s">
        <v>37</v>
      </c>
      <c r="AU2" s="28">
        <v>2013</v>
      </c>
      <c r="AV2" s="31">
        <v>2014</v>
      </c>
      <c r="AW2" s="28">
        <v>2015</v>
      </c>
      <c r="AX2" s="28">
        <v>2016</v>
      </c>
      <c r="AY2" s="28" t="s">
        <v>38</v>
      </c>
      <c r="AZ2" s="32" t="s">
        <v>39</v>
      </c>
      <c r="BA2" s="32" t="s">
        <v>40</v>
      </c>
      <c r="BB2" s="33" t="s">
        <v>41</v>
      </c>
      <c r="BC2" s="25" t="s">
        <v>42</v>
      </c>
    </row>
    <row r="3" spans="1:55" s="52" customFormat="1" ht="37.5" customHeight="1">
      <c r="A3" s="34">
        <v>7</v>
      </c>
      <c r="B3" s="35" t="s">
        <v>43</v>
      </c>
      <c r="C3" s="34">
        <v>1</v>
      </c>
      <c r="D3" s="36" t="s">
        <v>44</v>
      </c>
      <c r="E3" s="34">
        <v>1</v>
      </c>
      <c r="F3" s="36" t="s">
        <v>45</v>
      </c>
      <c r="G3" s="37">
        <v>324</v>
      </c>
      <c r="H3" s="36" t="s">
        <v>46</v>
      </c>
      <c r="I3" s="38">
        <v>2</v>
      </c>
      <c r="J3" s="39" t="s">
        <v>47</v>
      </c>
      <c r="K3" s="38">
        <v>1243</v>
      </c>
      <c r="L3" s="39" t="s">
        <v>48</v>
      </c>
      <c r="M3" s="38">
        <v>1</v>
      </c>
      <c r="N3" s="39" t="s">
        <v>49</v>
      </c>
      <c r="O3" s="40">
        <v>80</v>
      </c>
      <c r="P3" s="36" t="s">
        <v>50</v>
      </c>
      <c r="Q3" s="36" t="s">
        <v>51</v>
      </c>
      <c r="R3" s="39" t="s">
        <v>362</v>
      </c>
      <c r="S3" s="39" t="s">
        <v>363</v>
      </c>
      <c r="T3" s="35" t="s">
        <v>52</v>
      </c>
      <c r="U3" s="41">
        <v>1</v>
      </c>
      <c r="V3" s="42">
        <f t="shared" ref="V3:V34" si="0">AJ3/O3</f>
        <v>0.5</v>
      </c>
      <c r="W3" s="42">
        <f t="shared" ref="W3:W34" si="1">U3*V3</f>
        <v>0.5</v>
      </c>
      <c r="X3" s="42">
        <f t="shared" ref="X3:X34" si="2">AO3/O3</f>
        <v>0.5</v>
      </c>
      <c r="Y3" s="42">
        <f t="shared" ref="Y3:Y34" si="3">X3*U3</f>
        <v>0.5</v>
      </c>
      <c r="Z3" s="38">
        <v>116</v>
      </c>
      <c r="AA3" s="40">
        <v>20</v>
      </c>
      <c r="AB3" s="40">
        <v>20</v>
      </c>
      <c r="AC3" s="40">
        <v>20</v>
      </c>
      <c r="AD3" s="40">
        <v>20</v>
      </c>
      <c r="AE3" s="40">
        <v>80</v>
      </c>
      <c r="AF3" s="40">
        <v>20</v>
      </c>
      <c r="AG3" s="40">
        <v>20</v>
      </c>
      <c r="AH3" s="43">
        <v>0</v>
      </c>
      <c r="AI3" s="44">
        <v>0</v>
      </c>
      <c r="AJ3" s="40">
        <v>40</v>
      </c>
      <c r="AK3" s="40">
        <v>20</v>
      </c>
      <c r="AL3" s="43">
        <v>20</v>
      </c>
      <c r="AM3" s="45">
        <v>0</v>
      </c>
      <c r="AN3" s="45">
        <v>0</v>
      </c>
      <c r="AO3" s="40">
        <v>40</v>
      </c>
      <c r="AP3" s="46">
        <v>998801813</v>
      </c>
      <c r="AQ3" s="46">
        <v>999997030</v>
      </c>
      <c r="AR3" s="46">
        <v>0</v>
      </c>
      <c r="AS3" s="47">
        <v>0</v>
      </c>
      <c r="AT3" s="46" t="e">
        <f ca="1">SUMA(AP3:AS3)</f>
        <v>#NAME?</v>
      </c>
      <c r="AU3" s="46">
        <v>0</v>
      </c>
      <c r="AV3" s="46">
        <v>0</v>
      </c>
      <c r="AW3" s="46">
        <v>0</v>
      </c>
      <c r="AX3" s="47">
        <v>0</v>
      </c>
      <c r="AY3" s="48" t="e">
        <f t="shared" ref="AY3:AY34" ca="1" si="4">SUMA(AU3:AX3)</f>
        <v>#NAME?</v>
      </c>
      <c r="AZ3" s="49"/>
      <c r="BA3" s="49"/>
      <c r="BB3" s="50" t="s">
        <v>53</v>
      </c>
      <c r="BC3" s="51"/>
    </row>
    <row r="4" spans="1:55" s="52" customFormat="1" ht="37.5" customHeight="1">
      <c r="A4" s="34">
        <v>7</v>
      </c>
      <c r="B4" s="35" t="s">
        <v>43</v>
      </c>
      <c r="C4" s="34">
        <v>1</v>
      </c>
      <c r="D4" s="36" t="s">
        <v>44</v>
      </c>
      <c r="E4" s="34">
        <v>1</v>
      </c>
      <c r="F4" s="36" t="s">
        <v>45</v>
      </c>
      <c r="G4" s="37">
        <v>325</v>
      </c>
      <c r="H4" s="36" t="s">
        <v>54</v>
      </c>
      <c r="I4" s="38">
        <v>1</v>
      </c>
      <c r="J4" s="39" t="s">
        <v>55</v>
      </c>
      <c r="K4" s="38">
        <v>1243</v>
      </c>
      <c r="L4" s="39" t="s">
        <v>48</v>
      </c>
      <c r="M4" s="38">
        <v>2</v>
      </c>
      <c r="N4" s="39" t="s">
        <v>56</v>
      </c>
      <c r="O4" s="40">
        <v>16000</v>
      </c>
      <c r="P4" s="36" t="s">
        <v>57</v>
      </c>
      <c r="Q4" s="36" t="s">
        <v>58</v>
      </c>
      <c r="R4" s="39" t="s">
        <v>362</v>
      </c>
      <c r="S4" s="39" t="s">
        <v>364</v>
      </c>
      <c r="T4" s="35" t="s">
        <v>52</v>
      </c>
      <c r="U4" s="41">
        <v>1</v>
      </c>
      <c r="V4" s="42">
        <f t="shared" si="0"/>
        <v>1</v>
      </c>
      <c r="W4" s="42">
        <f t="shared" si="1"/>
        <v>1</v>
      </c>
      <c r="X4" s="42">
        <f t="shared" si="2"/>
        <v>1.1663749999999999</v>
      </c>
      <c r="Y4" s="42">
        <f t="shared" si="3"/>
        <v>1.1663749999999999</v>
      </c>
      <c r="Z4" s="38">
        <v>959</v>
      </c>
      <c r="AA4" s="40">
        <v>4000</v>
      </c>
      <c r="AB4" s="40">
        <v>4000</v>
      </c>
      <c r="AC4" s="40">
        <v>4000</v>
      </c>
      <c r="AD4" s="40">
        <v>4000</v>
      </c>
      <c r="AE4" s="40">
        <v>16000</v>
      </c>
      <c r="AF4" s="40">
        <v>4000</v>
      </c>
      <c r="AG4" s="40">
        <v>4000</v>
      </c>
      <c r="AH4" s="43">
        <v>4000</v>
      </c>
      <c r="AI4" s="44">
        <v>4000</v>
      </c>
      <c r="AJ4" s="40">
        <v>16000</v>
      </c>
      <c r="AK4" s="40">
        <v>6602</v>
      </c>
      <c r="AL4" s="43">
        <v>4840</v>
      </c>
      <c r="AM4" s="45">
        <v>7220</v>
      </c>
      <c r="AN4" s="45">
        <v>0</v>
      </c>
      <c r="AO4" s="40">
        <v>18662</v>
      </c>
      <c r="AP4" s="46">
        <v>800000000</v>
      </c>
      <c r="AQ4" s="46">
        <v>995387500</v>
      </c>
      <c r="AR4" s="46">
        <f>952381000+36000000</f>
        <v>988381000</v>
      </c>
      <c r="AS4" s="47">
        <v>786322022</v>
      </c>
      <c r="AT4" s="46" t="e">
        <f ca="1">SUMA(AP4:AS4)</f>
        <v>#NAME?</v>
      </c>
      <c r="AU4" s="46">
        <v>151600000</v>
      </c>
      <c r="AV4" s="46">
        <v>693594125</v>
      </c>
      <c r="AW4" s="46">
        <v>867942900</v>
      </c>
      <c r="AX4" s="47">
        <v>0</v>
      </c>
      <c r="AY4" s="48" t="e">
        <f t="shared" ca="1" si="4"/>
        <v>#NAME?</v>
      </c>
      <c r="AZ4" s="49"/>
      <c r="BA4" s="49"/>
      <c r="BB4" s="50" t="s">
        <v>53</v>
      </c>
      <c r="BC4" s="51"/>
    </row>
    <row r="5" spans="1:55" s="52" customFormat="1" ht="37.5" customHeight="1">
      <c r="A5" s="34">
        <v>7</v>
      </c>
      <c r="B5" s="35" t="s">
        <v>43</v>
      </c>
      <c r="C5" s="34">
        <v>1</v>
      </c>
      <c r="D5" s="36" t="s">
        <v>44</v>
      </c>
      <c r="E5" s="34">
        <v>2</v>
      </c>
      <c r="F5" s="36" t="s">
        <v>59</v>
      </c>
      <c r="G5" s="37">
        <v>326</v>
      </c>
      <c r="H5" s="36" t="s">
        <v>60</v>
      </c>
      <c r="I5" s="38">
        <v>4</v>
      </c>
      <c r="J5" s="39" t="s">
        <v>61</v>
      </c>
      <c r="K5" s="38">
        <v>830</v>
      </c>
      <c r="L5" s="39" t="s">
        <v>62</v>
      </c>
      <c r="M5" s="38">
        <v>3</v>
      </c>
      <c r="N5" s="39" t="s">
        <v>56</v>
      </c>
      <c r="O5" s="40">
        <v>10000</v>
      </c>
      <c r="P5" s="36" t="s">
        <v>63</v>
      </c>
      <c r="Q5" s="36" t="s">
        <v>64</v>
      </c>
      <c r="R5" s="39" t="s">
        <v>365</v>
      </c>
      <c r="S5" s="39" t="s">
        <v>366</v>
      </c>
      <c r="T5" s="35" t="s">
        <v>52</v>
      </c>
      <c r="U5" s="41">
        <v>1</v>
      </c>
      <c r="V5" s="42">
        <f t="shared" si="0"/>
        <v>1.3402000000000001</v>
      </c>
      <c r="W5" s="42">
        <f t="shared" si="1"/>
        <v>1.3402000000000001</v>
      </c>
      <c r="X5" s="42">
        <f t="shared" si="2"/>
        <v>0.80969999999999998</v>
      </c>
      <c r="Y5" s="42">
        <f t="shared" si="3"/>
        <v>0.80969999999999998</v>
      </c>
      <c r="Z5" s="38">
        <v>4176</v>
      </c>
      <c r="AA5" s="40">
        <v>2500</v>
      </c>
      <c r="AB5" s="40">
        <v>2500</v>
      </c>
      <c r="AC5" s="40">
        <v>2500</v>
      </c>
      <c r="AD5" s="40">
        <v>2500</v>
      </c>
      <c r="AE5" s="40">
        <v>10000</v>
      </c>
      <c r="AF5" s="40">
        <v>2500</v>
      </c>
      <c r="AG5" s="40">
        <v>4200</v>
      </c>
      <c r="AH5" s="43">
        <v>4800</v>
      </c>
      <c r="AI5" s="44">
        <v>1902</v>
      </c>
      <c r="AJ5" s="40">
        <v>13402</v>
      </c>
      <c r="AK5" s="40">
        <v>0</v>
      </c>
      <c r="AL5" s="53">
        <f>7121-1824</f>
        <v>5297</v>
      </c>
      <c r="AM5" s="45">
        <v>2800</v>
      </c>
      <c r="AN5" s="45">
        <v>0</v>
      </c>
      <c r="AO5" s="40">
        <v>8097</v>
      </c>
      <c r="AP5" s="46">
        <v>862040000</v>
      </c>
      <c r="AQ5" s="46">
        <v>391783909</v>
      </c>
      <c r="AR5" s="46">
        <v>350000000</v>
      </c>
      <c r="AS5" s="47">
        <f>665000000+35000000+2333333</f>
        <v>702333333</v>
      </c>
      <c r="AT5" s="46">
        <f>SUM(AP5:AS5)</f>
        <v>2306157242</v>
      </c>
      <c r="AU5" s="46">
        <v>0</v>
      </c>
      <c r="AV5" s="46">
        <v>0</v>
      </c>
      <c r="AW5" s="46">
        <v>0</v>
      </c>
      <c r="AX5" s="47">
        <v>0</v>
      </c>
      <c r="AY5" s="48" t="e">
        <f t="shared" ca="1" si="4"/>
        <v>#NAME?</v>
      </c>
      <c r="AZ5" s="49"/>
      <c r="BA5" s="49"/>
      <c r="BB5" s="49" t="s">
        <v>65</v>
      </c>
      <c r="BC5" s="51" t="s">
        <v>66</v>
      </c>
    </row>
    <row r="6" spans="1:55" s="52" customFormat="1" ht="37.5" customHeight="1">
      <c r="A6" s="34">
        <v>7</v>
      </c>
      <c r="B6" s="35" t="s">
        <v>43</v>
      </c>
      <c r="C6" s="34">
        <v>1</v>
      </c>
      <c r="D6" s="36" t="s">
        <v>44</v>
      </c>
      <c r="E6" s="34">
        <v>2</v>
      </c>
      <c r="F6" s="36" t="s">
        <v>59</v>
      </c>
      <c r="G6" s="37">
        <v>327</v>
      </c>
      <c r="H6" s="36" t="s">
        <v>67</v>
      </c>
      <c r="I6" s="38">
        <v>73</v>
      </c>
      <c r="J6" s="39" t="s">
        <v>68</v>
      </c>
      <c r="K6" s="38">
        <v>830</v>
      </c>
      <c r="L6" s="39" t="s">
        <v>62</v>
      </c>
      <c r="M6" s="38">
        <v>2</v>
      </c>
      <c r="N6" s="39" t="s">
        <v>56</v>
      </c>
      <c r="O6" s="40">
        <v>5000</v>
      </c>
      <c r="P6" s="36" t="s">
        <v>69</v>
      </c>
      <c r="Q6" s="36" t="s">
        <v>70</v>
      </c>
      <c r="R6" s="39" t="s">
        <v>365</v>
      </c>
      <c r="S6" s="39" t="s">
        <v>366</v>
      </c>
      <c r="T6" s="35" t="s">
        <v>52</v>
      </c>
      <c r="U6" s="41">
        <v>1</v>
      </c>
      <c r="V6" s="42">
        <f t="shared" si="0"/>
        <v>0.998</v>
      </c>
      <c r="W6" s="42">
        <f t="shared" si="1"/>
        <v>0.998</v>
      </c>
      <c r="X6" s="42">
        <f t="shared" si="2"/>
        <v>0.71599999999999997</v>
      </c>
      <c r="Y6" s="42">
        <f t="shared" si="3"/>
        <v>0.71599999999999997</v>
      </c>
      <c r="Z6" s="38">
        <v>4176</v>
      </c>
      <c r="AA6" s="40">
        <v>1250</v>
      </c>
      <c r="AB6" s="40">
        <v>1250</v>
      </c>
      <c r="AC6" s="40">
        <v>1250</v>
      </c>
      <c r="AD6" s="40">
        <v>1250</v>
      </c>
      <c r="AE6" s="40">
        <v>5000</v>
      </c>
      <c r="AF6" s="40">
        <v>1250</v>
      </c>
      <c r="AG6" s="40">
        <v>1250</v>
      </c>
      <c r="AH6" s="43">
        <v>420</v>
      </c>
      <c r="AI6" s="44">
        <f>1420+650</f>
        <v>2070</v>
      </c>
      <c r="AJ6" s="40">
        <v>4990</v>
      </c>
      <c r="AK6" s="40">
        <v>1893</v>
      </c>
      <c r="AL6" s="53">
        <v>1267</v>
      </c>
      <c r="AM6" s="45">
        <v>420</v>
      </c>
      <c r="AN6" s="45">
        <v>0</v>
      </c>
      <c r="AO6" s="40">
        <v>3580</v>
      </c>
      <c r="AP6" s="46">
        <v>414880000</v>
      </c>
      <c r="AQ6" s="46">
        <v>213695080</v>
      </c>
      <c r="AR6" s="46">
        <v>141522000</v>
      </c>
      <c r="AS6" s="47">
        <f>185000000+14999893</f>
        <v>199999893</v>
      </c>
      <c r="AT6" s="46" t="e">
        <f t="shared" ref="AT6:AT37" ca="1" si="5">SUMA(AP6:AS6)</f>
        <v>#NAME?</v>
      </c>
      <c r="AU6" s="46">
        <v>0</v>
      </c>
      <c r="AV6" s="46">
        <v>0</v>
      </c>
      <c r="AW6" s="46">
        <v>0</v>
      </c>
      <c r="AX6" s="47">
        <v>0</v>
      </c>
      <c r="AY6" s="48" t="e">
        <f t="shared" ca="1" si="4"/>
        <v>#NAME?</v>
      </c>
      <c r="AZ6" s="49"/>
      <c r="BA6" s="49"/>
      <c r="BB6" s="49" t="s">
        <v>65</v>
      </c>
      <c r="BC6" s="51"/>
    </row>
    <row r="7" spans="1:55" s="52" customFormat="1" ht="37.5" customHeight="1">
      <c r="A7" s="34">
        <v>7</v>
      </c>
      <c r="B7" s="35" t="s">
        <v>43</v>
      </c>
      <c r="C7" s="34">
        <v>1</v>
      </c>
      <c r="D7" s="36" t="s">
        <v>44</v>
      </c>
      <c r="E7" s="34">
        <v>2</v>
      </c>
      <c r="F7" s="36" t="s">
        <v>59</v>
      </c>
      <c r="G7" s="37">
        <v>328</v>
      </c>
      <c r="H7" s="36" t="s">
        <v>71</v>
      </c>
      <c r="I7" s="38">
        <v>5</v>
      </c>
      <c r="J7" s="39" t="s">
        <v>72</v>
      </c>
      <c r="K7" s="38">
        <v>830</v>
      </c>
      <c r="L7" s="39" t="s">
        <v>62</v>
      </c>
      <c r="M7" s="38">
        <v>1</v>
      </c>
      <c r="N7" s="39" t="s">
        <v>73</v>
      </c>
      <c r="O7" s="40">
        <v>1800</v>
      </c>
      <c r="P7" s="36" t="s">
        <v>63</v>
      </c>
      <c r="Q7" s="36" t="s">
        <v>74</v>
      </c>
      <c r="R7" s="39" t="s">
        <v>365</v>
      </c>
      <c r="S7" s="39" t="s">
        <v>366</v>
      </c>
      <c r="T7" s="35" t="s">
        <v>52</v>
      </c>
      <c r="U7" s="41">
        <v>1</v>
      </c>
      <c r="V7" s="42">
        <f t="shared" si="0"/>
        <v>1.05</v>
      </c>
      <c r="W7" s="42">
        <f t="shared" si="1"/>
        <v>1.05</v>
      </c>
      <c r="X7" s="42">
        <f t="shared" si="2"/>
        <v>0.65777777777777779</v>
      </c>
      <c r="Y7" s="42">
        <f t="shared" si="3"/>
        <v>0.65777777777777779</v>
      </c>
      <c r="Z7" s="38">
        <v>1626</v>
      </c>
      <c r="AA7" s="40">
        <v>450</v>
      </c>
      <c r="AB7" s="40">
        <v>450</v>
      </c>
      <c r="AC7" s="40">
        <v>450</v>
      </c>
      <c r="AD7" s="40">
        <v>450</v>
      </c>
      <c r="AE7" s="40">
        <v>1800</v>
      </c>
      <c r="AF7" s="40">
        <v>600</v>
      </c>
      <c r="AG7" s="40">
        <v>450</v>
      </c>
      <c r="AH7" s="43">
        <v>224</v>
      </c>
      <c r="AI7" s="44">
        <v>616</v>
      </c>
      <c r="AJ7" s="40">
        <v>1890</v>
      </c>
      <c r="AK7" s="53">
        <v>510</v>
      </c>
      <c r="AL7" s="53">
        <v>508</v>
      </c>
      <c r="AM7" s="45">
        <v>166</v>
      </c>
      <c r="AN7" s="45">
        <v>0</v>
      </c>
      <c r="AO7" s="40">
        <v>1184</v>
      </c>
      <c r="AP7" s="46">
        <v>876000000</v>
      </c>
      <c r="AQ7" s="46">
        <v>704200000</v>
      </c>
      <c r="AR7" s="46">
        <v>199942262</v>
      </c>
      <c r="AS7" s="47">
        <f>1140000000+60000000</f>
        <v>1200000000</v>
      </c>
      <c r="AT7" s="46" t="e">
        <f t="shared" ca="1" si="5"/>
        <v>#NAME?</v>
      </c>
      <c r="AU7" s="46">
        <v>0</v>
      </c>
      <c r="AV7" s="46">
        <v>2100000</v>
      </c>
      <c r="AW7" s="46">
        <v>0</v>
      </c>
      <c r="AX7" s="47">
        <v>0</v>
      </c>
      <c r="AY7" s="48" t="e">
        <f t="shared" ca="1" si="4"/>
        <v>#NAME?</v>
      </c>
      <c r="AZ7" s="49"/>
      <c r="BA7" s="49"/>
      <c r="BB7" s="49" t="s">
        <v>65</v>
      </c>
      <c r="BC7" s="51" t="s">
        <v>75</v>
      </c>
    </row>
    <row r="8" spans="1:55" s="52" customFormat="1" ht="37.5" customHeight="1">
      <c r="A8" s="34">
        <v>7</v>
      </c>
      <c r="B8" s="35" t="s">
        <v>43</v>
      </c>
      <c r="C8" s="34">
        <v>1</v>
      </c>
      <c r="D8" s="36" t="s">
        <v>44</v>
      </c>
      <c r="E8" s="34">
        <v>2</v>
      </c>
      <c r="F8" s="36" t="s">
        <v>59</v>
      </c>
      <c r="G8" s="37">
        <v>329</v>
      </c>
      <c r="H8" s="36" t="s">
        <v>76</v>
      </c>
      <c r="I8" s="38">
        <v>4</v>
      </c>
      <c r="J8" s="39" t="s">
        <v>61</v>
      </c>
      <c r="K8" s="38">
        <v>830</v>
      </c>
      <c r="L8" s="39" t="s">
        <v>62</v>
      </c>
      <c r="M8" s="38">
        <v>4</v>
      </c>
      <c r="N8" s="39" t="s">
        <v>56</v>
      </c>
      <c r="O8" s="40">
        <v>4000</v>
      </c>
      <c r="P8" s="36" t="s">
        <v>77</v>
      </c>
      <c r="Q8" s="36" t="s">
        <v>78</v>
      </c>
      <c r="R8" s="39" t="s">
        <v>365</v>
      </c>
      <c r="S8" s="39" t="s">
        <v>366</v>
      </c>
      <c r="T8" s="35" t="s">
        <v>52</v>
      </c>
      <c r="U8" s="41">
        <v>1</v>
      </c>
      <c r="V8" s="42">
        <f t="shared" si="0"/>
        <v>1.6352500000000001</v>
      </c>
      <c r="W8" s="42">
        <f t="shared" si="1"/>
        <v>1.6352500000000001</v>
      </c>
      <c r="X8" s="42">
        <f t="shared" si="2"/>
        <v>1.18625</v>
      </c>
      <c r="Y8" s="42">
        <f t="shared" si="3"/>
        <v>1.18625</v>
      </c>
      <c r="Z8" s="38">
        <v>0</v>
      </c>
      <c r="AA8" s="40">
        <v>1000</v>
      </c>
      <c r="AB8" s="40">
        <v>1000</v>
      </c>
      <c r="AC8" s="40">
        <v>1000</v>
      </c>
      <c r="AD8" s="40">
        <v>1000</v>
      </c>
      <c r="AE8" s="40">
        <v>4000</v>
      </c>
      <c r="AF8" s="40">
        <v>1000</v>
      </c>
      <c r="AG8" s="40">
        <v>1530</v>
      </c>
      <c r="AH8" s="43">
        <f>8811-4800</f>
        <v>4011</v>
      </c>
      <c r="AI8" s="44">
        <v>0</v>
      </c>
      <c r="AJ8" s="40">
        <v>6541</v>
      </c>
      <c r="AK8" s="40">
        <v>0</v>
      </c>
      <c r="AL8" s="53">
        <v>1935</v>
      </c>
      <c r="AM8" s="45">
        <v>2810</v>
      </c>
      <c r="AN8" s="45">
        <v>0</v>
      </c>
      <c r="AO8" s="40">
        <v>4745</v>
      </c>
      <c r="AP8" s="46">
        <v>350000000</v>
      </c>
      <c r="AQ8" s="46">
        <v>320040000</v>
      </c>
      <c r="AR8" s="46">
        <v>350000000</v>
      </c>
      <c r="AS8" s="47">
        <v>0</v>
      </c>
      <c r="AT8" s="46" t="e">
        <f t="shared" ca="1" si="5"/>
        <v>#NAME?</v>
      </c>
      <c r="AU8" s="46">
        <v>0</v>
      </c>
      <c r="AV8" s="46">
        <v>0</v>
      </c>
      <c r="AW8" s="46">
        <v>0</v>
      </c>
      <c r="AX8" s="47">
        <v>0</v>
      </c>
      <c r="AY8" s="48" t="e">
        <f t="shared" ca="1" si="4"/>
        <v>#NAME?</v>
      </c>
      <c r="AZ8" s="49"/>
      <c r="BA8" s="49"/>
      <c r="BB8" s="49" t="s">
        <v>65</v>
      </c>
      <c r="BC8" s="51" t="s">
        <v>79</v>
      </c>
    </row>
    <row r="9" spans="1:55" s="52" customFormat="1" ht="37.5" customHeight="1">
      <c r="A9" s="34">
        <v>7</v>
      </c>
      <c r="B9" s="35" t="s">
        <v>43</v>
      </c>
      <c r="C9" s="34">
        <v>1</v>
      </c>
      <c r="D9" s="36" t="s">
        <v>44</v>
      </c>
      <c r="E9" s="34">
        <v>3</v>
      </c>
      <c r="F9" s="36" t="s">
        <v>80</v>
      </c>
      <c r="G9" s="37">
        <v>330</v>
      </c>
      <c r="H9" s="36" t="s">
        <v>81</v>
      </c>
      <c r="I9" s="38">
        <v>11</v>
      </c>
      <c r="J9" s="39" t="s">
        <v>82</v>
      </c>
      <c r="K9" s="38">
        <v>1007</v>
      </c>
      <c r="L9" s="39" t="s">
        <v>83</v>
      </c>
      <c r="M9" s="38">
        <v>3</v>
      </c>
      <c r="N9" s="39" t="s">
        <v>56</v>
      </c>
      <c r="O9" s="40">
        <v>300</v>
      </c>
      <c r="P9" s="36" t="s">
        <v>63</v>
      </c>
      <c r="Q9" s="36" t="s">
        <v>84</v>
      </c>
      <c r="R9" s="39" t="s">
        <v>367</v>
      </c>
      <c r="S9" s="39" t="s">
        <v>368</v>
      </c>
      <c r="T9" s="35" t="s">
        <v>85</v>
      </c>
      <c r="U9" s="41">
        <v>1</v>
      </c>
      <c r="V9" s="42">
        <f t="shared" si="0"/>
        <v>0.79166666666666663</v>
      </c>
      <c r="W9" s="42">
        <f t="shared" si="1"/>
        <v>0.79166666666666663</v>
      </c>
      <c r="X9" s="42">
        <f t="shared" si="2"/>
        <v>0.72916666666666663</v>
      </c>
      <c r="Y9" s="42">
        <f t="shared" si="3"/>
        <v>0.72916666666666663</v>
      </c>
      <c r="Z9" s="38">
        <v>0</v>
      </c>
      <c r="AA9" s="40">
        <v>300</v>
      </c>
      <c r="AB9" s="40">
        <v>300</v>
      </c>
      <c r="AC9" s="40">
        <v>300</v>
      </c>
      <c r="AD9" s="40">
        <v>300</v>
      </c>
      <c r="AE9" s="40">
        <v>300</v>
      </c>
      <c r="AF9" s="40">
        <v>400</v>
      </c>
      <c r="AG9" s="40">
        <v>450</v>
      </c>
      <c r="AH9" s="43">
        <v>0</v>
      </c>
      <c r="AI9" s="44">
        <v>100</v>
      </c>
      <c r="AJ9" s="40">
        <v>237.5</v>
      </c>
      <c r="AK9" s="40">
        <v>425</v>
      </c>
      <c r="AL9" s="43">
        <v>450</v>
      </c>
      <c r="AM9" s="45">
        <v>0</v>
      </c>
      <c r="AN9" s="45">
        <v>0</v>
      </c>
      <c r="AO9" s="40">
        <v>218.75</v>
      </c>
      <c r="AP9" s="46">
        <v>526000000</v>
      </c>
      <c r="AQ9" s="46">
        <v>541857143</v>
      </c>
      <c r="AR9" s="46">
        <v>0</v>
      </c>
      <c r="AS9" s="47">
        <v>229785500</v>
      </c>
      <c r="AT9" s="46" t="e">
        <f t="shared" ca="1" si="5"/>
        <v>#NAME?</v>
      </c>
      <c r="AU9" s="46">
        <v>0</v>
      </c>
      <c r="AV9" s="46">
        <v>0</v>
      </c>
      <c r="AW9" s="46">
        <v>0</v>
      </c>
      <c r="AX9" s="47">
        <v>0</v>
      </c>
      <c r="AY9" s="48" t="e">
        <f t="shared" ca="1" si="4"/>
        <v>#NAME?</v>
      </c>
      <c r="AZ9" s="49"/>
      <c r="BA9" s="49"/>
      <c r="BB9" s="49" t="s">
        <v>65</v>
      </c>
      <c r="BC9" s="51"/>
    </row>
    <row r="10" spans="1:55" s="52" customFormat="1" ht="37.5" customHeight="1">
      <c r="A10" s="34">
        <v>7</v>
      </c>
      <c r="B10" s="35" t="s">
        <v>43</v>
      </c>
      <c r="C10" s="34">
        <v>1</v>
      </c>
      <c r="D10" s="36" t="s">
        <v>44</v>
      </c>
      <c r="E10" s="34">
        <v>3</v>
      </c>
      <c r="F10" s="36" t="s">
        <v>80</v>
      </c>
      <c r="G10" s="37">
        <v>331</v>
      </c>
      <c r="H10" s="36" t="s">
        <v>86</v>
      </c>
      <c r="I10" s="38">
        <v>9</v>
      </c>
      <c r="J10" s="39" t="s">
        <v>87</v>
      </c>
      <c r="K10" s="38">
        <v>1007</v>
      </c>
      <c r="L10" s="39" t="s">
        <v>83</v>
      </c>
      <c r="M10" s="38">
        <v>1</v>
      </c>
      <c r="N10" s="39" t="s">
        <v>56</v>
      </c>
      <c r="O10" s="40">
        <v>58000</v>
      </c>
      <c r="P10" s="36" t="s">
        <v>88</v>
      </c>
      <c r="Q10" s="36" t="s">
        <v>89</v>
      </c>
      <c r="R10" s="39" t="s">
        <v>367</v>
      </c>
      <c r="S10" s="39" t="s">
        <v>369</v>
      </c>
      <c r="T10" s="35" t="s">
        <v>52</v>
      </c>
      <c r="U10" s="41">
        <v>1</v>
      </c>
      <c r="V10" s="42">
        <f t="shared" si="0"/>
        <v>0.91741379310344828</v>
      </c>
      <c r="W10" s="42">
        <f t="shared" si="1"/>
        <v>0.91741379310344828</v>
      </c>
      <c r="X10" s="42">
        <f t="shared" si="2"/>
        <v>0.71051724137931038</v>
      </c>
      <c r="Y10" s="42">
        <f t="shared" si="3"/>
        <v>0.71051724137931038</v>
      </c>
      <c r="Z10" s="38">
        <v>5479</v>
      </c>
      <c r="AA10" s="40">
        <v>14500</v>
      </c>
      <c r="AB10" s="40">
        <v>14500</v>
      </c>
      <c r="AC10" s="40">
        <v>14500</v>
      </c>
      <c r="AD10" s="40">
        <v>14500</v>
      </c>
      <c r="AE10" s="40">
        <v>58000</v>
      </c>
      <c r="AF10" s="40">
        <f>21110+2100</f>
        <v>23210</v>
      </c>
      <c r="AG10" s="40">
        <v>8000</v>
      </c>
      <c r="AH10" s="43">
        <v>10000</v>
      </c>
      <c r="AI10" s="44">
        <v>12000</v>
      </c>
      <c r="AJ10" s="40">
        <v>53210</v>
      </c>
      <c r="AK10" s="40">
        <v>23210</v>
      </c>
      <c r="AL10" s="43">
        <v>8000</v>
      </c>
      <c r="AM10" s="45">
        <v>10000</v>
      </c>
      <c r="AN10" s="45">
        <v>0</v>
      </c>
      <c r="AO10" s="40">
        <v>41210</v>
      </c>
      <c r="AP10" s="46">
        <v>1158761905</v>
      </c>
      <c r="AQ10" s="46">
        <v>567300000</v>
      </c>
      <c r="AR10" s="46">
        <f>685000000+15000000</f>
        <v>700000000</v>
      </c>
      <c r="AS10" s="47">
        <v>1244299116</v>
      </c>
      <c r="AT10" s="46" t="e">
        <f t="shared" ca="1" si="5"/>
        <v>#NAME?</v>
      </c>
      <c r="AU10" s="46">
        <v>1158761905</v>
      </c>
      <c r="AV10" s="46">
        <v>510570000</v>
      </c>
      <c r="AW10" s="46">
        <f>685000000+15000000</f>
        <v>700000000</v>
      </c>
      <c r="AX10" s="47">
        <v>0</v>
      </c>
      <c r="AY10" s="48" t="e">
        <f t="shared" ca="1" si="4"/>
        <v>#NAME?</v>
      </c>
      <c r="AZ10" s="49"/>
      <c r="BA10" s="49"/>
      <c r="BB10" s="49" t="s">
        <v>65</v>
      </c>
      <c r="BC10" s="51"/>
    </row>
    <row r="11" spans="1:55" s="52" customFormat="1" ht="37.5" customHeight="1">
      <c r="A11" s="34">
        <v>7</v>
      </c>
      <c r="B11" s="35" t="s">
        <v>43</v>
      </c>
      <c r="C11" s="34">
        <v>1</v>
      </c>
      <c r="D11" s="36" t="s">
        <v>44</v>
      </c>
      <c r="E11" s="34">
        <v>3</v>
      </c>
      <c r="F11" s="36" t="s">
        <v>80</v>
      </c>
      <c r="G11" s="37">
        <v>332</v>
      </c>
      <c r="H11" s="36" t="s">
        <v>90</v>
      </c>
      <c r="I11" s="38">
        <v>7</v>
      </c>
      <c r="J11" s="39" t="s">
        <v>91</v>
      </c>
      <c r="K11" s="38">
        <v>1007</v>
      </c>
      <c r="L11" s="39" t="s">
        <v>83</v>
      </c>
      <c r="M11" s="38">
        <v>2</v>
      </c>
      <c r="N11" s="39" t="s">
        <v>49</v>
      </c>
      <c r="O11" s="40">
        <v>28</v>
      </c>
      <c r="P11" s="36" t="s">
        <v>92</v>
      </c>
      <c r="Q11" s="36" t="s">
        <v>93</v>
      </c>
      <c r="R11" s="39" t="s">
        <v>367</v>
      </c>
      <c r="S11" s="39" t="s">
        <v>370</v>
      </c>
      <c r="T11" s="35" t="s">
        <v>52</v>
      </c>
      <c r="U11" s="41">
        <v>1</v>
      </c>
      <c r="V11" s="42">
        <f t="shared" si="0"/>
        <v>1.0357142857142858</v>
      </c>
      <c r="W11" s="42">
        <f t="shared" si="1"/>
        <v>1.0357142857142858</v>
      </c>
      <c r="X11" s="42">
        <f t="shared" si="2"/>
        <v>0.75</v>
      </c>
      <c r="Y11" s="42">
        <f t="shared" si="3"/>
        <v>0.75</v>
      </c>
      <c r="Z11" s="38">
        <v>22</v>
      </c>
      <c r="AA11" s="40">
        <v>7</v>
      </c>
      <c r="AB11" s="40">
        <v>7</v>
      </c>
      <c r="AC11" s="40">
        <v>7</v>
      </c>
      <c r="AD11" s="40">
        <v>7</v>
      </c>
      <c r="AE11" s="40">
        <v>28</v>
      </c>
      <c r="AF11" s="40">
        <v>7</v>
      </c>
      <c r="AG11" s="40">
        <v>7</v>
      </c>
      <c r="AH11" s="43">
        <v>7</v>
      </c>
      <c r="AI11" s="44">
        <v>8</v>
      </c>
      <c r="AJ11" s="40">
        <v>29</v>
      </c>
      <c r="AK11" s="40">
        <v>7</v>
      </c>
      <c r="AL11" s="43">
        <v>7</v>
      </c>
      <c r="AM11" s="45">
        <v>7</v>
      </c>
      <c r="AN11" s="45">
        <v>0</v>
      </c>
      <c r="AO11" s="40">
        <v>21</v>
      </c>
      <c r="AP11" s="46">
        <v>898039005</v>
      </c>
      <c r="AQ11" s="46">
        <v>900000000</v>
      </c>
      <c r="AR11" s="46">
        <v>539966356</v>
      </c>
      <c r="AS11" s="47">
        <v>648916667</v>
      </c>
      <c r="AT11" s="46" t="e">
        <f t="shared" ca="1" si="5"/>
        <v>#NAME?</v>
      </c>
      <c r="AU11" s="46">
        <v>228786600</v>
      </c>
      <c r="AV11" s="46">
        <v>243390000</v>
      </c>
      <c r="AW11" s="46">
        <v>0</v>
      </c>
      <c r="AX11" s="47">
        <v>0</v>
      </c>
      <c r="AY11" s="48" t="e">
        <f t="shared" ca="1" si="4"/>
        <v>#NAME?</v>
      </c>
      <c r="AZ11" s="49"/>
      <c r="BA11" s="49"/>
      <c r="BB11" s="49" t="s">
        <v>65</v>
      </c>
      <c r="BC11" s="51" t="s">
        <v>94</v>
      </c>
    </row>
    <row r="12" spans="1:55" s="52" customFormat="1" ht="37.5" customHeight="1">
      <c r="A12" s="34">
        <v>7</v>
      </c>
      <c r="B12" s="35" t="s">
        <v>43</v>
      </c>
      <c r="C12" s="34">
        <v>1</v>
      </c>
      <c r="D12" s="36" t="s">
        <v>44</v>
      </c>
      <c r="E12" s="34">
        <v>4</v>
      </c>
      <c r="F12" s="36" t="s">
        <v>95</v>
      </c>
      <c r="G12" s="37">
        <v>333</v>
      </c>
      <c r="H12" s="36" t="s">
        <v>96</v>
      </c>
      <c r="I12" s="38">
        <v>14</v>
      </c>
      <c r="J12" s="39" t="s">
        <v>97</v>
      </c>
      <c r="K12" s="54">
        <v>831</v>
      </c>
      <c r="L12" s="39" t="s">
        <v>98</v>
      </c>
      <c r="M12" s="38">
        <v>1</v>
      </c>
      <c r="N12" s="39" t="s">
        <v>56</v>
      </c>
      <c r="O12" s="40">
        <v>2000</v>
      </c>
      <c r="P12" s="36" t="s">
        <v>63</v>
      </c>
      <c r="Q12" s="36" t="s">
        <v>99</v>
      </c>
      <c r="R12" s="39" t="s">
        <v>371</v>
      </c>
      <c r="S12" s="39" t="s">
        <v>372</v>
      </c>
      <c r="T12" s="35" t="s">
        <v>52</v>
      </c>
      <c r="U12" s="41">
        <v>1</v>
      </c>
      <c r="V12" s="42">
        <f t="shared" si="0"/>
        <v>1.2275</v>
      </c>
      <c r="W12" s="42">
        <f t="shared" si="1"/>
        <v>1.2275</v>
      </c>
      <c r="X12" s="42">
        <f t="shared" si="2"/>
        <v>1.1595</v>
      </c>
      <c r="Y12" s="42">
        <f t="shared" si="3"/>
        <v>1.1595</v>
      </c>
      <c r="Z12" s="38">
        <v>0</v>
      </c>
      <c r="AA12" s="40">
        <v>500</v>
      </c>
      <c r="AB12" s="40">
        <v>500</v>
      </c>
      <c r="AC12" s="40">
        <v>500</v>
      </c>
      <c r="AD12" s="40">
        <v>500</v>
      </c>
      <c r="AE12" s="40">
        <v>2000</v>
      </c>
      <c r="AF12" s="40">
        <v>410</v>
      </c>
      <c r="AG12" s="40">
        <v>520</v>
      </c>
      <c r="AH12" s="43">
        <v>925</v>
      </c>
      <c r="AI12" s="44">
        <v>600</v>
      </c>
      <c r="AJ12" s="40">
        <v>2455</v>
      </c>
      <c r="AK12" s="40">
        <v>737</v>
      </c>
      <c r="AL12" s="43">
        <v>657</v>
      </c>
      <c r="AM12" s="45">
        <v>925</v>
      </c>
      <c r="AN12" s="45">
        <v>0</v>
      </c>
      <c r="AO12" s="40">
        <v>2319</v>
      </c>
      <c r="AP12" s="46">
        <v>175000000</v>
      </c>
      <c r="AQ12" s="46">
        <v>141999997</v>
      </c>
      <c r="AR12" s="46">
        <v>60000000</v>
      </c>
      <c r="AS12" s="47">
        <v>190984872</v>
      </c>
      <c r="AT12" s="46" t="e">
        <f t="shared" ca="1" si="5"/>
        <v>#NAME?</v>
      </c>
      <c r="AU12" s="46">
        <v>0</v>
      </c>
      <c r="AV12" s="46">
        <v>0</v>
      </c>
      <c r="AW12" s="46">
        <v>60000000</v>
      </c>
      <c r="AX12" s="47">
        <v>0</v>
      </c>
      <c r="AY12" s="48" t="e">
        <f t="shared" ca="1" si="4"/>
        <v>#NAME?</v>
      </c>
      <c r="AZ12" s="49"/>
      <c r="BA12" s="49"/>
      <c r="BB12" s="49" t="s">
        <v>65</v>
      </c>
      <c r="BC12" s="51"/>
    </row>
    <row r="13" spans="1:55" s="52" customFormat="1" ht="37.5" customHeight="1">
      <c r="A13" s="34">
        <v>7</v>
      </c>
      <c r="B13" s="35" t="s">
        <v>43</v>
      </c>
      <c r="C13" s="34">
        <v>1</v>
      </c>
      <c r="D13" s="36" t="s">
        <v>44</v>
      </c>
      <c r="E13" s="34">
        <v>5</v>
      </c>
      <c r="F13" s="36" t="s">
        <v>100</v>
      </c>
      <c r="G13" s="37">
        <v>334</v>
      </c>
      <c r="H13" s="36" t="s">
        <v>101</v>
      </c>
      <c r="I13" s="38">
        <v>69</v>
      </c>
      <c r="J13" s="39" t="s">
        <v>102</v>
      </c>
      <c r="K13" s="38">
        <v>832</v>
      </c>
      <c r="L13" s="39" t="s">
        <v>103</v>
      </c>
      <c r="M13" s="38">
        <v>3</v>
      </c>
      <c r="N13" s="39" t="s">
        <v>56</v>
      </c>
      <c r="O13" s="40">
        <v>800</v>
      </c>
      <c r="P13" s="36" t="s">
        <v>63</v>
      </c>
      <c r="Q13" s="36" t="s">
        <v>104</v>
      </c>
      <c r="R13" s="39" t="s">
        <v>373</v>
      </c>
      <c r="S13" s="39" t="s">
        <v>374</v>
      </c>
      <c r="T13" s="35" t="s">
        <v>52</v>
      </c>
      <c r="U13" s="41">
        <v>1</v>
      </c>
      <c r="V13" s="42">
        <f t="shared" si="0"/>
        <v>3.0437500000000002</v>
      </c>
      <c r="W13" s="42">
        <f t="shared" si="1"/>
        <v>3.0437500000000002</v>
      </c>
      <c r="X13" s="42">
        <f t="shared" si="2"/>
        <v>1.8687499999999999</v>
      </c>
      <c r="Y13" s="42">
        <f t="shared" si="3"/>
        <v>1.8687499999999999</v>
      </c>
      <c r="Z13" s="38">
        <v>0</v>
      </c>
      <c r="AA13" s="40">
        <v>200</v>
      </c>
      <c r="AB13" s="40">
        <v>200</v>
      </c>
      <c r="AC13" s="40">
        <v>200</v>
      </c>
      <c r="AD13" s="40">
        <v>200</v>
      </c>
      <c r="AE13" s="40">
        <v>800</v>
      </c>
      <c r="AF13" s="40">
        <v>400</v>
      </c>
      <c r="AG13" s="40">
        <v>35</v>
      </c>
      <c r="AH13" s="43">
        <v>1000</v>
      </c>
      <c r="AI13" s="44">
        <v>1000</v>
      </c>
      <c r="AJ13" s="40">
        <v>2435</v>
      </c>
      <c r="AK13" s="40">
        <v>400</v>
      </c>
      <c r="AL13" s="43">
        <v>35</v>
      </c>
      <c r="AM13" s="45">
        <v>1060</v>
      </c>
      <c r="AN13" s="45">
        <v>0</v>
      </c>
      <c r="AO13" s="40">
        <v>1495</v>
      </c>
      <c r="AP13" s="46">
        <v>66000000</v>
      </c>
      <c r="AQ13" s="46">
        <v>100000000</v>
      </c>
      <c r="AR13" s="46">
        <v>79500000</v>
      </c>
      <c r="AS13" s="47">
        <v>89810000</v>
      </c>
      <c r="AT13" s="46" t="e">
        <f t="shared" ca="1" si="5"/>
        <v>#NAME?</v>
      </c>
      <c r="AU13" s="46">
        <v>0</v>
      </c>
      <c r="AV13" s="46">
        <v>0</v>
      </c>
      <c r="AW13" s="46">
        <v>79500000</v>
      </c>
      <c r="AX13" s="47">
        <v>0</v>
      </c>
      <c r="AY13" s="48" t="e">
        <f t="shared" ca="1" si="4"/>
        <v>#NAME?</v>
      </c>
      <c r="AZ13" s="49"/>
      <c r="BA13" s="49"/>
      <c r="BB13" s="49" t="s">
        <v>65</v>
      </c>
      <c r="BC13" s="51"/>
    </row>
    <row r="14" spans="1:55" s="52" customFormat="1" ht="37.5" customHeight="1">
      <c r="A14" s="34">
        <v>7</v>
      </c>
      <c r="B14" s="35" t="s">
        <v>43</v>
      </c>
      <c r="C14" s="34">
        <v>1</v>
      </c>
      <c r="D14" s="36" t="s">
        <v>44</v>
      </c>
      <c r="E14" s="34">
        <v>5</v>
      </c>
      <c r="F14" s="36" t="s">
        <v>100</v>
      </c>
      <c r="G14" s="37">
        <v>335</v>
      </c>
      <c r="H14" s="36" t="s">
        <v>105</v>
      </c>
      <c r="I14" s="38">
        <v>69</v>
      </c>
      <c r="J14" s="39" t="s">
        <v>102</v>
      </c>
      <c r="K14" s="38">
        <v>832</v>
      </c>
      <c r="L14" s="39" t="s">
        <v>103</v>
      </c>
      <c r="M14" s="38">
        <v>4</v>
      </c>
      <c r="N14" s="39" t="s">
        <v>56</v>
      </c>
      <c r="O14" s="40">
        <v>4000</v>
      </c>
      <c r="P14" s="36" t="s">
        <v>63</v>
      </c>
      <c r="Q14" s="36" t="s">
        <v>106</v>
      </c>
      <c r="R14" s="39" t="s">
        <v>373</v>
      </c>
      <c r="S14" s="39" t="s">
        <v>374</v>
      </c>
      <c r="T14" s="35" t="s">
        <v>52</v>
      </c>
      <c r="U14" s="41">
        <v>1</v>
      </c>
      <c r="V14" s="42">
        <f t="shared" si="0"/>
        <v>2.35</v>
      </c>
      <c r="W14" s="42">
        <f t="shared" si="1"/>
        <v>2.35</v>
      </c>
      <c r="X14" s="42">
        <f t="shared" si="2"/>
        <v>2.6752500000000001</v>
      </c>
      <c r="Y14" s="42">
        <f t="shared" si="3"/>
        <v>2.6752500000000001</v>
      </c>
      <c r="Z14" s="38">
        <v>0</v>
      </c>
      <c r="AA14" s="40">
        <v>1000</v>
      </c>
      <c r="AB14" s="40">
        <v>1000</v>
      </c>
      <c r="AC14" s="40">
        <v>1000</v>
      </c>
      <c r="AD14" s="40">
        <v>1000</v>
      </c>
      <c r="AE14" s="40">
        <v>4000</v>
      </c>
      <c r="AF14" s="40">
        <v>400</v>
      </c>
      <c r="AG14" s="40">
        <v>5000</v>
      </c>
      <c r="AH14" s="43">
        <f>3000</f>
        <v>3000</v>
      </c>
      <c r="AI14" s="44">
        <v>1000</v>
      </c>
      <c r="AJ14" s="40">
        <v>9400</v>
      </c>
      <c r="AK14" s="40">
        <v>400</v>
      </c>
      <c r="AL14" s="43">
        <f>1885+2225+2321+2134</f>
        <v>8565</v>
      </c>
      <c r="AM14" s="45">
        <v>1736</v>
      </c>
      <c r="AN14" s="45">
        <v>0</v>
      </c>
      <c r="AO14" s="40">
        <v>10701</v>
      </c>
      <c r="AP14" s="46">
        <v>104088000</v>
      </c>
      <c r="AQ14" s="46">
        <v>404720000</v>
      </c>
      <c r="AR14" s="46">
        <v>370000000</v>
      </c>
      <c r="AS14" s="47">
        <f>644512450+9650000</f>
        <v>654162450</v>
      </c>
      <c r="AT14" s="46" t="e">
        <f t="shared" ca="1" si="5"/>
        <v>#NAME?</v>
      </c>
      <c r="AU14" s="46">
        <v>0</v>
      </c>
      <c r="AV14" s="46">
        <v>168333360</v>
      </c>
      <c r="AW14" s="46">
        <v>53979000</v>
      </c>
      <c r="AX14" s="47">
        <v>0</v>
      </c>
      <c r="AY14" s="48" t="e">
        <f t="shared" ca="1" si="4"/>
        <v>#NAME?</v>
      </c>
      <c r="AZ14" s="49"/>
      <c r="BA14" s="49"/>
      <c r="BB14" s="49" t="s">
        <v>107</v>
      </c>
      <c r="BC14" s="51" t="s">
        <v>108</v>
      </c>
    </row>
    <row r="15" spans="1:55" s="52" customFormat="1" ht="37.5" customHeight="1">
      <c r="A15" s="34">
        <v>7</v>
      </c>
      <c r="B15" s="35" t="s">
        <v>43</v>
      </c>
      <c r="C15" s="34">
        <v>1</v>
      </c>
      <c r="D15" s="36" t="s">
        <v>44</v>
      </c>
      <c r="E15" s="34">
        <v>5</v>
      </c>
      <c r="F15" s="36" t="s">
        <v>100</v>
      </c>
      <c r="G15" s="37">
        <v>336</v>
      </c>
      <c r="H15" s="36" t="s">
        <v>109</v>
      </c>
      <c r="I15" s="38">
        <v>15</v>
      </c>
      <c r="J15" s="39" t="s">
        <v>110</v>
      </c>
      <c r="K15" s="38">
        <v>832</v>
      </c>
      <c r="L15" s="39" t="s">
        <v>103</v>
      </c>
      <c r="M15" s="38">
        <v>1</v>
      </c>
      <c r="N15" s="39" t="s">
        <v>56</v>
      </c>
      <c r="O15" s="40">
        <v>4000</v>
      </c>
      <c r="P15" s="36" t="s">
        <v>63</v>
      </c>
      <c r="Q15" s="36" t="s">
        <v>111</v>
      </c>
      <c r="R15" s="39" t="s">
        <v>373</v>
      </c>
      <c r="S15" s="39" t="s">
        <v>372</v>
      </c>
      <c r="T15" s="35" t="s">
        <v>52</v>
      </c>
      <c r="U15" s="41">
        <v>1</v>
      </c>
      <c r="V15" s="42">
        <f t="shared" si="0"/>
        <v>0.83774999999999999</v>
      </c>
      <c r="W15" s="42">
        <f t="shared" si="1"/>
        <v>0.83774999999999999</v>
      </c>
      <c r="X15" s="42">
        <f t="shared" si="2"/>
        <v>1.0782499999999999</v>
      </c>
      <c r="Y15" s="42">
        <f t="shared" si="3"/>
        <v>1.0782499999999999</v>
      </c>
      <c r="Z15" s="38">
        <v>0</v>
      </c>
      <c r="AA15" s="40">
        <v>1000</v>
      </c>
      <c r="AB15" s="40">
        <v>1000</v>
      </c>
      <c r="AC15" s="40">
        <v>1000</v>
      </c>
      <c r="AD15" s="40">
        <v>1000</v>
      </c>
      <c r="AE15" s="40">
        <v>4000</v>
      </c>
      <c r="AF15" s="40">
        <v>1000</v>
      </c>
      <c r="AG15" s="40">
        <f>1365+436</f>
        <v>1801</v>
      </c>
      <c r="AH15" s="43">
        <v>550</v>
      </c>
      <c r="AI15" s="44">
        <v>0</v>
      </c>
      <c r="AJ15" s="40">
        <v>3351</v>
      </c>
      <c r="AK15" s="40">
        <v>1996</v>
      </c>
      <c r="AL15" s="43">
        <f>1331+906</f>
        <v>2237</v>
      </c>
      <c r="AM15" s="45">
        <v>80</v>
      </c>
      <c r="AN15" s="45">
        <v>0</v>
      </c>
      <c r="AO15" s="40">
        <v>4313</v>
      </c>
      <c r="AP15" s="46">
        <v>332171000</v>
      </c>
      <c r="AQ15" s="46">
        <v>227767373</v>
      </c>
      <c r="AR15" s="46">
        <v>160790116</v>
      </c>
      <c r="AS15" s="47">
        <v>0</v>
      </c>
      <c r="AT15" s="46" t="e">
        <f t="shared" ca="1" si="5"/>
        <v>#NAME?</v>
      </c>
      <c r="AU15" s="46">
        <v>0</v>
      </c>
      <c r="AV15" s="46">
        <v>10471874</v>
      </c>
      <c r="AW15" s="46">
        <v>0</v>
      </c>
      <c r="AX15" s="47">
        <v>0</v>
      </c>
      <c r="AY15" s="48" t="e">
        <f t="shared" ca="1" si="4"/>
        <v>#NAME?</v>
      </c>
      <c r="AZ15" s="49"/>
      <c r="BA15" s="49"/>
      <c r="BB15" s="49" t="s">
        <v>65</v>
      </c>
      <c r="BC15" s="51" t="s">
        <v>112</v>
      </c>
    </row>
    <row r="16" spans="1:55" s="52" customFormat="1" ht="37.5" customHeight="1">
      <c r="A16" s="34">
        <v>7</v>
      </c>
      <c r="B16" s="35" t="s">
        <v>43</v>
      </c>
      <c r="C16" s="34">
        <v>1</v>
      </c>
      <c r="D16" s="36" t="s">
        <v>44</v>
      </c>
      <c r="E16" s="34">
        <v>5</v>
      </c>
      <c r="F16" s="36" t="s">
        <v>100</v>
      </c>
      <c r="G16" s="37">
        <v>337</v>
      </c>
      <c r="H16" s="36" t="s">
        <v>113</v>
      </c>
      <c r="I16" s="38">
        <v>18</v>
      </c>
      <c r="J16" s="39" t="s">
        <v>114</v>
      </c>
      <c r="K16" s="38">
        <v>832</v>
      </c>
      <c r="L16" s="39" t="s">
        <v>103</v>
      </c>
      <c r="M16" s="38">
        <v>5</v>
      </c>
      <c r="N16" s="39" t="s">
        <v>115</v>
      </c>
      <c r="O16" s="40">
        <v>40</v>
      </c>
      <c r="P16" s="36" t="s">
        <v>116</v>
      </c>
      <c r="Q16" s="36" t="s">
        <v>117</v>
      </c>
      <c r="R16" s="39" t="s">
        <v>362</v>
      </c>
      <c r="S16" s="39" t="s">
        <v>375</v>
      </c>
      <c r="T16" s="35" t="s">
        <v>52</v>
      </c>
      <c r="U16" s="41">
        <v>1</v>
      </c>
      <c r="V16" s="42">
        <f t="shared" si="0"/>
        <v>1</v>
      </c>
      <c r="W16" s="42">
        <f t="shared" si="1"/>
        <v>1</v>
      </c>
      <c r="X16" s="42">
        <f t="shared" si="2"/>
        <v>1</v>
      </c>
      <c r="Y16" s="42">
        <f t="shared" si="3"/>
        <v>1</v>
      </c>
      <c r="Z16" s="38">
        <v>0</v>
      </c>
      <c r="AA16" s="40">
        <v>10</v>
      </c>
      <c r="AB16" s="40">
        <v>10</v>
      </c>
      <c r="AC16" s="40">
        <v>10</v>
      </c>
      <c r="AD16" s="40">
        <v>10</v>
      </c>
      <c r="AE16" s="40">
        <v>40</v>
      </c>
      <c r="AF16" s="40">
        <v>10</v>
      </c>
      <c r="AG16" s="40">
        <v>20</v>
      </c>
      <c r="AH16" s="43">
        <v>10</v>
      </c>
      <c r="AI16" s="44">
        <v>0</v>
      </c>
      <c r="AJ16" s="40">
        <v>40</v>
      </c>
      <c r="AK16" s="40">
        <v>10</v>
      </c>
      <c r="AL16" s="43">
        <v>20</v>
      </c>
      <c r="AM16" s="45">
        <v>10</v>
      </c>
      <c r="AN16" s="45">
        <v>0</v>
      </c>
      <c r="AO16" s="40">
        <v>40</v>
      </c>
      <c r="AP16" s="46">
        <v>196000000</v>
      </c>
      <c r="AQ16" s="46">
        <v>230000000</v>
      </c>
      <c r="AR16" s="46">
        <v>107000000</v>
      </c>
      <c r="AS16" s="47">
        <v>0</v>
      </c>
      <c r="AT16" s="46" t="e">
        <f t="shared" ca="1" si="5"/>
        <v>#NAME?</v>
      </c>
      <c r="AU16" s="46">
        <v>0</v>
      </c>
      <c r="AV16" s="46">
        <v>0</v>
      </c>
      <c r="AW16" s="46">
        <v>0</v>
      </c>
      <c r="AX16" s="47">
        <v>0</v>
      </c>
      <c r="AY16" s="48" t="e">
        <f t="shared" ca="1" si="4"/>
        <v>#NAME?</v>
      </c>
      <c r="AZ16" s="49"/>
      <c r="BA16" s="49"/>
      <c r="BB16" s="49" t="s">
        <v>65</v>
      </c>
      <c r="BC16" s="51" t="s">
        <v>118</v>
      </c>
    </row>
    <row r="17" spans="1:55" s="52" customFormat="1" ht="37.5" customHeight="1">
      <c r="A17" s="34">
        <v>7</v>
      </c>
      <c r="B17" s="35" t="s">
        <v>43</v>
      </c>
      <c r="C17" s="34">
        <v>1</v>
      </c>
      <c r="D17" s="36" t="s">
        <v>44</v>
      </c>
      <c r="E17" s="34">
        <v>5</v>
      </c>
      <c r="F17" s="36" t="s">
        <v>100</v>
      </c>
      <c r="G17" s="37">
        <v>339</v>
      </c>
      <c r="H17" s="36" t="s">
        <v>119</v>
      </c>
      <c r="I17" s="38">
        <v>15</v>
      </c>
      <c r="J17" s="39" t="s">
        <v>110</v>
      </c>
      <c r="K17" s="38">
        <v>832</v>
      </c>
      <c r="L17" s="39" t="s">
        <v>103</v>
      </c>
      <c r="M17" s="38">
        <v>2</v>
      </c>
      <c r="N17" s="39" t="s">
        <v>56</v>
      </c>
      <c r="O17" s="40">
        <v>1600</v>
      </c>
      <c r="P17" s="36" t="s">
        <v>63</v>
      </c>
      <c r="Q17" s="36" t="s">
        <v>120</v>
      </c>
      <c r="R17" s="39" t="s">
        <v>373</v>
      </c>
      <c r="S17" s="39" t="s">
        <v>372</v>
      </c>
      <c r="T17" s="35" t="s">
        <v>52</v>
      </c>
      <c r="U17" s="41">
        <v>1</v>
      </c>
      <c r="V17" s="42">
        <f t="shared" si="0"/>
        <v>1.12625</v>
      </c>
      <c r="W17" s="42">
        <f t="shared" si="1"/>
        <v>1.12625</v>
      </c>
      <c r="X17" s="42">
        <f t="shared" si="2"/>
        <v>1.1481250000000001</v>
      </c>
      <c r="Y17" s="42">
        <f t="shared" si="3"/>
        <v>1.1481250000000001</v>
      </c>
      <c r="Z17" s="38">
        <v>0</v>
      </c>
      <c r="AA17" s="40">
        <v>400</v>
      </c>
      <c r="AB17" s="40">
        <v>400</v>
      </c>
      <c r="AC17" s="40">
        <v>400</v>
      </c>
      <c r="AD17" s="40">
        <v>400</v>
      </c>
      <c r="AE17" s="40">
        <v>1600</v>
      </c>
      <c r="AF17" s="40">
        <v>400</v>
      </c>
      <c r="AG17" s="40">
        <v>1002</v>
      </c>
      <c r="AH17" s="43">
        <v>0</v>
      </c>
      <c r="AI17" s="44">
        <v>400</v>
      </c>
      <c r="AJ17" s="40">
        <v>1802</v>
      </c>
      <c r="AK17" s="40">
        <v>410</v>
      </c>
      <c r="AL17" s="43">
        <v>1427</v>
      </c>
      <c r="AM17" s="45">
        <v>0</v>
      </c>
      <c r="AN17" s="45">
        <v>0</v>
      </c>
      <c r="AO17" s="40">
        <v>1837</v>
      </c>
      <c r="AP17" s="46">
        <v>139810000</v>
      </c>
      <c r="AQ17" s="46">
        <v>143341819</v>
      </c>
      <c r="AR17" s="46">
        <v>0</v>
      </c>
      <c r="AS17" s="47">
        <v>171755000</v>
      </c>
      <c r="AT17" s="46" t="e">
        <f t="shared" ca="1" si="5"/>
        <v>#NAME?</v>
      </c>
      <c r="AU17" s="46">
        <v>0</v>
      </c>
      <c r="AV17" s="46">
        <v>0</v>
      </c>
      <c r="AW17" s="46">
        <v>0</v>
      </c>
      <c r="AX17" s="47">
        <v>0</v>
      </c>
      <c r="AY17" s="48" t="e">
        <f t="shared" ca="1" si="4"/>
        <v>#NAME?</v>
      </c>
      <c r="AZ17" s="49"/>
      <c r="BA17" s="49"/>
      <c r="BB17" s="49" t="s">
        <v>65</v>
      </c>
      <c r="BC17" s="51"/>
    </row>
    <row r="18" spans="1:55" s="52" customFormat="1" ht="37.5" customHeight="1">
      <c r="A18" s="34">
        <v>7</v>
      </c>
      <c r="B18" s="35" t="s">
        <v>43</v>
      </c>
      <c r="C18" s="34">
        <v>1</v>
      </c>
      <c r="D18" s="36" t="s">
        <v>44</v>
      </c>
      <c r="E18" s="34">
        <v>5</v>
      </c>
      <c r="F18" s="36" t="s">
        <v>100</v>
      </c>
      <c r="G18" s="37">
        <v>338</v>
      </c>
      <c r="H18" s="36" t="s">
        <v>121</v>
      </c>
      <c r="I18" s="38">
        <v>19</v>
      </c>
      <c r="J18" s="39" t="s">
        <v>122</v>
      </c>
      <c r="K18" s="38">
        <v>835</v>
      </c>
      <c r="L18" s="39" t="s">
        <v>123</v>
      </c>
      <c r="M18" s="38">
        <v>1</v>
      </c>
      <c r="N18" s="39" t="s">
        <v>124</v>
      </c>
      <c r="O18" s="40">
        <v>8000</v>
      </c>
      <c r="P18" s="36" t="s">
        <v>125</v>
      </c>
      <c r="Q18" s="36" t="s">
        <v>126</v>
      </c>
      <c r="R18" s="39" t="s">
        <v>362</v>
      </c>
      <c r="S18" s="39" t="s">
        <v>375</v>
      </c>
      <c r="T18" s="35" t="s">
        <v>52</v>
      </c>
      <c r="U18" s="41">
        <v>1</v>
      </c>
      <c r="V18" s="42">
        <f t="shared" si="0"/>
        <v>1.7849999999999999</v>
      </c>
      <c r="W18" s="42">
        <f t="shared" si="1"/>
        <v>1.7849999999999999</v>
      </c>
      <c r="X18" s="42">
        <f t="shared" si="2"/>
        <v>1.7849999999999999</v>
      </c>
      <c r="Y18" s="42">
        <f t="shared" si="3"/>
        <v>1.7849999999999999</v>
      </c>
      <c r="Z18" s="38">
        <v>2000</v>
      </c>
      <c r="AA18" s="40">
        <v>2000</v>
      </c>
      <c r="AB18" s="40">
        <v>2000</v>
      </c>
      <c r="AC18" s="40">
        <v>2000</v>
      </c>
      <c r="AD18" s="40">
        <v>2000</v>
      </c>
      <c r="AE18" s="40">
        <v>8000</v>
      </c>
      <c r="AF18" s="40">
        <v>2270</v>
      </c>
      <c r="AG18" s="40">
        <v>2670</v>
      </c>
      <c r="AH18" s="43">
        <f>2670+2000</f>
        <v>4670</v>
      </c>
      <c r="AI18" s="44">
        <v>4670</v>
      </c>
      <c r="AJ18" s="40">
        <v>14280</v>
      </c>
      <c r="AK18" s="40">
        <v>2270</v>
      </c>
      <c r="AL18" s="43">
        <v>2670</v>
      </c>
      <c r="AM18" s="45">
        <f>2670+2000</f>
        <v>4670</v>
      </c>
      <c r="AN18" s="45">
        <v>4670</v>
      </c>
      <c r="AO18" s="40">
        <v>14280</v>
      </c>
      <c r="AP18" s="46">
        <v>2966400000</v>
      </c>
      <c r="AQ18" s="46">
        <v>4077147262</v>
      </c>
      <c r="AR18" s="46">
        <f>7256243333</f>
        <v>7256243333</v>
      </c>
      <c r="AS18" s="47">
        <v>11057902059</v>
      </c>
      <c r="AT18" s="46" t="e">
        <f t="shared" ca="1" si="5"/>
        <v>#NAME?</v>
      </c>
      <c r="AU18" s="46">
        <v>2326200000</v>
      </c>
      <c r="AV18" s="46">
        <v>3009423017</v>
      </c>
      <c r="AW18" s="46">
        <v>4162410916</v>
      </c>
      <c r="AX18" s="47">
        <v>4162085905</v>
      </c>
      <c r="AY18" s="48" t="e">
        <f t="shared" ca="1" si="4"/>
        <v>#NAME?</v>
      </c>
      <c r="AZ18" s="49"/>
      <c r="BA18" s="49"/>
      <c r="BB18" s="49" t="s">
        <v>127</v>
      </c>
      <c r="BC18" s="51"/>
    </row>
    <row r="19" spans="1:55" s="52" customFormat="1" ht="37.5" customHeight="1">
      <c r="A19" s="34">
        <v>7</v>
      </c>
      <c r="B19" s="35" t="s">
        <v>43</v>
      </c>
      <c r="C19" s="34">
        <v>1</v>
      </c>
      <c r="D19" s="36" t="s">
        <v>44</v>
      </c>
      <c r="E19" s="34">
        <v>7</v>
      </c>
      <c r="F19" s="36" t="s">
        <v>128</v>
      </c>
      <c r="G19" s="37">
        <v>340</v>
      </c>
      <c r="H19" s="36" t="s">
        <v>129</v>
      </c>
      <c r="I19" s="38">
        <v>21</v>
      </c>
      <c r="J19" s="39" t="s">
        <v>130</v>
      </c>
      <c r="K19" s="38">
        <v>836</v>
      </c>
      <c r="L19" s="39" t="s">
        <v>131</v>
      </c>
      <c r="M19" s="38">
        <v>1</v>
      </c>
      <c r="N19" s="39" t="s">
        <v>56</v>
      </c>
      <c r="O19" s="40">
        <v>2000</v>
      </c>
      <c r="P19" s="36" t="s">
        <v>63</v>
      </c>
      <c r="Q19" s="36" t="s">
        <v>132</v>
      </c>
      <c r="R19" s="39" t="s">
        <v>373</v>
      </c>
      <c r="S19" s="39" t="s">
        <v>374</v>
      </c>
      <c r="T19" s="35" t="s">
        <v>52</v>
      </c>
      <c r="U19" s="41">
        <v>1</v>
      </c>
      <c r="V19" s="42">
        <f t="shared" si="0"/>
        <v>5.8</v>
      </c>
      <c r="W19" s="42">
        <f t="shared" si="1"/>
        <v>5.8</v>
      </c>
      <c r="X19" s="42">
        <f t="shared" si="2"/>
        <v>9.3904999999999994</v>
      </c>
      <c r="Y19" s="42">
        <f t="shared" si="3"/>
        <v>9.3904999999999994</v>
      </c>
      <c r="Z19" s="38">
        <v>0</v>
      </c>
      <c r="AA19" s="40">
        <v>500</v>
      </c>
      <c r="AB19" s="40">
        <v>500</v>
      </c>
      <c r="AC19" s="40">
        <v>500</v>
      </c>
      <c r="AD19" s="40">
        <v>500</v>
      </c>
      <c r="AE19" s="40">
        <v>2000</v>
      </c>
      <c r="AF19" s="40">
        <v>600</v>
      </c>
      <c r="AG19" s="40">
        <f>5000+1000+1500</f>
        <v>7500</v>
      </c>
      <c r="AH19" s="43">
        <f>3000+500</f>
        <v>3500</v>
      </c>
      <c r="AI19" s="44">
        <v>0</v>
      </c>
      <c r="AJ19" s="40">
        <v>11600</v>
      </c>
      <c r="AK19" s="40">
        <f>700+350+600</f>
        <v>1650</v>
      </c>
      <c r="AL19" s="43">
        <f>1885+1000+2225+2321+2400+2134</f>
        <v>11965</v>
      </c>
      <c r="AM19" s="45">
        <f>3000+750+1416</f>
        <v>5166</v>
      </c>
      <c r="AN19" s="45">
        <v>0</v>
      </c>
      <c r="AO19" s="40">
        <v>18781</v>
      </c>
      <c r="AP19" s="46">
        <v>90619166</v>
      </c>
      <c r="AQ19" s="46">
        <v>671193571</v>
      </c>
      <c r="AR19" s="46">
        <f>294703482/3</f>
        <v>98234494</v>
      </c>
      <c r="AS19" s="47">
        <v>0</v>
      </c>
      <c r="AT19" s="46" t="e">
        <f t="shared" ca="1" si="5"/>
        <v>#NAME?</v>
      </c>
      <c r="AU19" s="46">
        <v>0</v>
      </c>
      <c r="AV19" s="46">
        <v>270302640</v>
      </c>
      <c r="AW19" s="46">
        <v>96901161</v>
      </c>
      <c r="AX19" s="47">
        <v>0</v>
      </c>
      <c r="AY19" s="48" t="e">
        <f t="shared" ca="1" si="4"/>
        <v>#NAME?</v>
      </c>
      <c r="AZ19" s="49"/>
      <c r="BA19" s="49"/>
      <c r="BB19" s="49" t="s">
        <v>107</v>
      </c>
      <c r="BC19" s="51"/>
    </row>
    <row r="20" spans="1:55" s="52" customFormat="1" ht="37.5" customHeight="1">
      <c r="A20" s="34">
        <v>7</v>
      </c>
      <c r="B20" s="35" t="s">
        <v>43</v>
      </c>
      <c r="C20" s="34">
        <v>1</v>
      </c>
      <c r="D20" s="36" t="s">
        <v>44</v>
      </c>
      <c r="E20" s="34">
        <v>7</v>
      </c>
      <c r="F20" s="36" t="s">
        <v>128</v>
      </c>
      <c r="G20" s="37">
        <v>341</v>
      </c>
      <c r="H20" s="36" t="s">
        <v>133</v>
      </c>
      <c r="I20" s="38">
        <v>21</v>
      </c>
      <c r="J20" s="39" t="s">
        <v>130</v>
      </c>
      <c r="K20" s="38">
        <v>836</v>
      </c>
      <c r="L20" s="39" t="s">
        <v>131</v>
      </c>
      <c r="M20" s="38">
        <v>2</v>
      </c>
      <c r="N20" s="39" t="s">
        <v>134</v>
      </c>
      <c r="O20" s="40">
        <v>1000</v>
      </c>
      <c r="P20" s="36" t="s">
        <v>63</v>
      </c>
      <c r="Q20" s="36" t="s">
        <v>135</v>
      </c>
      <c r="R20" s="39" t="s">
        <v>373</v>
      </c>
      <c r="S20" s="39" t="s">
        <v>374</v>
      </c>
      <c r="T20" s="35" t="s">
        <v>52</v>
      </c>
      <c r="U20" s="41">
        <v>1</v>
      </c>
      <c r="V20" s="42">
        <f t="shared" si="0"/>
        <v>3</v>
      </c>
      <c r="W20" s="42">
        <f t="shared" si="1"/>
        <v>3</v>
      </c>
      <c r="X20" s="42">
        <f t="shared" si="2"/>
        <v>6.3710000000000004</v>
      </c>
      <c r="Y20" s="42">
        <f t="shared" si="3"/>
        <v>6.3710000000000004</v>
      </c>
      <c r="Z20" s="38">
        <v>0</v>
      </c>
      <c r="AA20" s="40">
        <v>250</v>
      </c>
      <c r="AB20" s="40">
        <v>250</v>
      </c>
      <c r="AC20" s="40">
        <v>250</v>
      </c>
      <c r="AD20" s="40">
        <v>250</v>
      </c>
      <c r="AE20" s="40">
        <v>1000</v>
      </c>
      <c r="AF20" s="40">
        <v>250</v>
      </c>
      <c r="AG20" s="40">
        <f>1000+1500</f>
        <v>2500</v>
      </c>
      <c r="AH20" s="43">
        <v>250</v>
      </c>
      <c r="AI20" s="44">
        <v>0</v>
      </c>
      <c r="AJ20" s="40">
        <v>3000</v>
      </c>
      <c r="AK20" s="40">
        <f>700+1521</f>
        <v>2221</v>
      </c>
      <c r="AL20" s="43">
        <f>1000+2400</f>
        <v>3400</v>
      </c>
      <c r="AM20" s="45">
        <v>750</v>
      </c>
      <c r="AN20" s="45">
        <v>0</v>
      </c>
      <c r="AO20" s="40">
        <v>6371</v>
      </c>
      <c r="AP20" s="46">
        <v>88000000</v>
      </c>
      <c r="AQ20" s="46">
        <v>331101570</v>
      </c>
      <c r="AR20" s="46">
        <v>98234494</v>
      </c>
      <c r="AS20" s="47">
        <v>0</v>
      </c>
      <c r="AT20" s="46" t="e">
        <f t="shared" ca="1" si="5"/>
        <v>#NAME?</v>
      </c>
      <c r="AU20" s="46">
        <v>0</v>
      </c>
      <c r="AV20" s="46">
        <v>2944000</v>
      </c>
      <c r="AW20" s="46">
        <v>96901161</v>
      </c>
      <c r="AX20" s="47">
        <v>0</v>
      </c>
      <c r="AY20" s="48" t="e">
        <f t="shared" ca="1" si="4"/>
        <v>#NAME?</v>
      </c>
      <c r="AZ20" s="55"/>
      <c r="BA20" s="55"/>
      <c r="BB20" s="55" t="s">
        <v>107</v>
      </c>
      <c r="BC20" s="51"/>
    </row>
    <row r="21" spans="1:55" s="52" customFormat="1" ht="37.5" customHeight="1">
      <c r="A21" s="34">
        <v>7</v>
      </c>
      <c r="B21" s="35" t="s">
        <v>43</v>
      </c>
      <c r="C21" s="34">
        <v>1</v>
      </c>
      <c r="D21" s="36" t="s">
        <v>44</v>
      </c>
      <c r="E21" s="34">
        <v>7</v>
      </c>
      <c r="F21" s="36" t="s">
        <v>128</v>
      </c>
      <c r="G21" s="37">
        <v>342</v>
      </c>
      <c r="H21" s="36" t="s">
        <v>136</v>
      </c>
      <c r="I21" s="38">
        <v>22</v>
      </c>
      <c r="J21" s="39" t="s">
        <v>137</v>
      </c>
      <c r="K21" s="38">
        <v>836</v>
      </c>
      <c r="L21" s="39" t="s">
        <v>131</v>
      </c>
      <c r="M21" s="38">
        <v>3</v>
      </c>
      <c r="N21" s="39" t="s">
        <v>56</v>
      </c>
      <c r="O21" s="40">
        <v>1000</v>
      </c>
      <c r="P21" s="36" t="s">
        <v>63</v>
      </c>
      <c r="Q21" s="36" t="s">
        <v>138</v>
      </c>
      <c r="R21" s="56" t="s">
        <v>373</v>
      </c>
      <c r="S21" s="57" t="s">
        <v>374</v>
      </c>
      <c r="T21" s="58" t="s">
        <v>52</v>
      </c>
      <c r="U21" s="59">
        <v>1</v>
      </c>
      <c r="V21" s="60">
        <f t="shared" si="0"/>
        <v>3.25</v>
      </c>
      <c r="W21" s="60">
        <f t="shared" si="1"/>
        <v>3.25</v>
      </c>
      <c r="X21" s="60">
        <f t="shared" si="2"/>
        <v>8.2460000000000004</v>
      </c>
      <c r="Y21" s="60">
        <f t="shared" si="3"/>
        <v>8.2460000000000004</v>
      </c>
      <c r="Z21" s="61">
        <v>0</v>
      </c>
      <c r="AA21" s="62">
        <v>250</v>
      </c>
      <c r="AB21" s="62">
        <v>250</v>
      </c>
      <c r="AC21" s="62">
        <v>250</v>
      </c>
      <c r="AD21" s="62">
        <v>250</v>
      </c>
      <c r="AE21" s="62">
        <v>1000</v>
      </c>
      <c r="AF21" s="62">
        <v>250</v>
      </c>
      <c r="AG21" s="62">
        <f>1000+1500</f>
        <v>2500</v>
      </c>
      <c r="AH21" s="63">
        <v>500</v>
      </c>
      <c r="AI21" s="64">
        <v>0</v>
      </c>
      <c r="AJ21" s="62">
        <v>3250</v>
      </c>
      <c r="AK21" s="65">
        <f>700+350+1716</f>
        <v>2766</v>
      </c>
      <c r="AL21" s="63">
        <f>1500+2400</f>
        <v>3900</v>
      </c>
      <c r="AM21" s="64">
        <v>1580</v>
      </c>
      <c r="AN21" s="66">
        <v>0</v>
      </c>
      <c r="AO21" s="62">
        <v>8246</v>
      </c>
      <c r="AP21" s="49">
        <v>100000000</v>
      </c>
      <c r="AQ21" s="49">
        <v>331377570</v>
      </c>
      <c r="AR21" s="46">
        <v>98234494</v>
      </c>
      <c r="AS21" s="67">
        <v>0</v>
      </c>
      <c r="AT21" s="49" t="e">
        <f t="shared" ca="1" si="5"/>
        <v>#NAME?</v>
      </c>
      <c r="AU21" s="49">
        <v>0</v>
      </c>
      <c r="AV21" s="49">
        <v>3220000</v>
      </c>
      <c r="AW21" s="46">
        <v>96901160</v>
      </c>
      <c r="AX21" s="67">
        <v>0</v>
      </c>
      <c r="AY21" s="49" t="e">
        <f t="shared" ca="1" si="4"/>
        <v>#NAME?</v>
      </c>
      <c r="AZ21" s="49"/>
      <c r="BA21" s="49"/>
      <c r="BB21" s="49" t="s">
        <v>107</v>
      </c>
      <c r="BC21" s="68"/>
    </row>
    <row r="22" spans="1:55" s="52" customFormat="1" ht="37.5" customHeight="1">
      <c r="A22" s="34">
        <v>7</v>
      </c>
      <c r="B22" s="35" t="s">
        <v>43</v>
      </c>
      <c r="C22" s="34">
        <v>1</v>
      </c>
      <c r="D22" s="36" t="s">
        <v>44</v>
      </c>
      <c r="E22" s="34">
        <v>8</v>
      </c>
      <c r="F22" s="36" t="s">
        <v>139</v>
      </c>
      <c r="G22" s="37">
        <v>343</v>
      </c>
      <c r="H22" s="36" t="s">
        <v>140</v>
      </c>
      <c r="I22" s="38">
        <v>23</v>
      </c>
      <c r="J22" s="39" t="s">
        <v>141</v>
      </c>
      <c r="K22" s="38">
        <v>837</v>
      </c>
      <c r="L22" s="39" t="s">
        <v>142</v>
      </c>
      <c r="M22" s="38">
        <v>1</v>
      </c>
      <c r="N22" s="39" t="s">
        <v>143</v>
      </c>
      <c r="O22" s="40">
        <v>64</v>
      </c>
      <c r="P22" s="36" t="s">
        <v>144</v>
      </c>
      <c r="Q22" s="36" t="s">
        <v>145</v>
      </c>
      <c r="R22" s="39" t="s">
        <v>376</v>
      </c>
      <c r="S22" s="69" t="s">
        <v>377</v>
      </c>
      <c r="T22" s="70" t="s">
        <v>52</v>
      </c>
      <c r="U22" s="71">
        <v>1</v>
      </c>
      <c r="V22" s="72">
        <f t="shared" si="0"/>
        <v>0.859375</v>
      </c>
      <c r="W22" s="72">
        <f t="shared" si="1"/>
        <v>0.859375</v>
      </c>
      <c r="X22" s="72">
        <f t="shared" si="2"/>
        <v>0.71875</v>
      </c>
      <c r="Y22" s="72">
        <f t="shared" si="3"/>
        <v>0.71875</v>
      </c>
      <c r="Z22" s="73">
        <v>20</v>
      </c>
      <c r="AA22" s="74">
        <v>16</v>
      </c>
      <c r="AB22" s="74">
        <v>16</v>
      </c>
      <c r="AC22" s="74">
        <v>16</v>
      </c>
      <c r="AD22" s="74">
        <v>16</v>
      </c>
      <c r="AE22" s="74">
        <v>64</v>
      </c>
      <c r="AF22" s="74">
        <v>11</v>
      </c>
      <c r="AG22" s="74">
        <v>15</v>
      </c>
      <c r="AH22" s="75">
        <v>18</v>
      </c>
      <c r="AI22" s="76">
        <v>11</v>
      </c>
      <c r="AJ22" s="74">
        <v>55</v>
      </c>
      <c r="AK22" s="77">
        <v>11</v>
      </c>
      <c r="AL22" s="63">
        <v>15</v>
      </c>
      <c r="AM22" s="64">
        <v>18</v>
      </c>
      <c r="AN22" s="78">
        <v>2</v>
      </c>
      <c r="AO22" s="74">
        <v>46</v>
      </c>
      <c r="AP22" s="79">
        <v>863305000</v>
      </c>
      <c r="AQ22" s="79">
        <v>1091220554</v>
      </c>
      <c r="AR22" s="79">
        <v>1296755993</v>
      </c>
      <c r="AS22" s="80">
        <v>899201162</v>
      </c>
      <c r="AT22" s="79" t="e">
        <f t="shared" ca="1" si="5"/>
        <v>#NAME?</v>
      </c>
      <c r="AU22" s="79">
        <v>157787500</v>
      </c>
      <c r="AV22" s="79">
        <v>704312737</v>
      </c>
      <c r="AW22" s="79">
        <v>644055847</v>
      </c>
      <c r="AX22" s="80">
        <v>0</v>
      </c>
      <c r="AY22" s="81" t="e">
        <f t="shared" ca="1" si="4"/>
        <v>#NAME?</v>
      </c>
      <c r="AZ22" s="82"/>
      <c r="BA22" s="82"/>
      <c r="BB22" s="82" t="s">
        <v>146</v>
      </c>
      <c r="BC22" s="51" t="s">
        <v>147</v>
      </c>
    </row>
    <row r="23" spans="1:55" s="52" customFormat="1" ht="37.5" customHeight="1">
      <c r="A23" s="34">
        <v>7</v>
      </c>
      <c r="B23" s="35" t="s">
        <v>43</v>
      </c>
      <c r="C23" s="34">
        <v>1</v>
      </c>
      <c r="D23" s="36" t="s">
        <v>44</v>
      </c>
      <c r="E23" s="34">
        <v>8</v>
      </c>
      <c r="F23" s="36" t="s">
        <v>139</v>
      </c>
      <c r="G23" s="37">
        <v>344</v>
      </c>
      <c r="H23" s="36" t="s">
        <v>148</v>
      </c>
      <c r="I23" s="38">
        <v>25</v>
      </c>
      <c r="J23" s="39" t="s">
        <v>149</v>
      </c>
      <c r="K23" s="38">
        <v>837</v>
      </c>
      <c r="L23" s="39" t="s">
        <v>142</v>
      </c>
      <c r="M23" s="38">
        <v>2</v>
      </c>
      <c r="N23" s="39" t="s">
        <v>150</v>
      </c>
      <c r="O23" s="40">
        <v>300</v>
      </c>
      <c r="P23" s="36" t="s">
        <v>63</v>
      </c>
      <c r="Q23" s="36" t="s">
        <v>151</v>
      </c>
      <c r="R23" s="39" t="s">
        <v>376</v>
      </c>
      <c r="S23" s="39" t="s">
        <v>378</v>
      </c>
      <c r="T23" s="35" t="s">
        <v>85</v>
      </c>
      <c r="U23" s="41">
        <v>1</v>
      </c>
      <c r="V23" s="42">
        <f t="shared" si="0"/>
        <v>1.125</v>
      </c>
      <c r="W23" s="42">
        <f t="shared" si="1"/>
        <v>1.125</v>
      </c>
      <c r="X23" s="42">
        <f t="shared" si="2"/>
        <v>0.81666666666666665</v>
      </c>
      <c r="Y23" s="42">
        <f t="shared" si="3"/>
        <v>0.81666666666666665</v>
      </c>
      <c r="Z23" s="38">
        <v>1204</v>
      </c>
      <c r="AA23" s="40">
        <v>300</v>
      </c>
      <c r="AB23" s="40">
        <v>300</v>
      </c>
      <c r="AC23" s="40">
        <v>300</v>
      </c>
      <c r="AD23" s="40">
        <v>300</v>
      </c>
      <c r="AE23" s="40">
        <v>300</v>
      </c>
      <c r="AF23" s="40">
        <v>300</v>
      </c>
      <c r="AG23" s="40">
        <v>330</v>
      </c>
      <c r="AH23" s="43">
        <v>350</v>
      </c>
      <c r="AI23" s="44">
        <v>370</v>
      </c>
      <c r="AJ23" s="40">
        <v>337.5</v>
      </c>
      <c r="AK23" s="40">
        <v>300</v>
      </c>
      <c r="AL23" s="75">
        <v>330</v>
      </c>
      <c r="AM23" s="83">
        <v>350</v>
      </c>
      <c r="AN23" s="45">
        <v>0</v>
      </c>
      <c r="AO23" s="40">
        <v>245</v>
      </c>
      <c r="AP23" s="46">
        <v>247000000</v>
      </c>
      <c r="AQ23" s="46">
        <v>197200000</v>
      </c>
      <c r="AR23" s="46">
        <v>200891331</v>
      </c>
      <c r="AS23" s="47">
        <v>114362617</v>
      </c>
      <c r="AT23" s="46" t="e">
        <f t="shared" ca="1" si="5"/>
        <v>#NAME?</v>
      </c>
      <c r="AU23" s="46">
        <v>0</v>
      </c>
      <c r="AV23" s="46">
        <v>0</v>
      </c>
      <c r="AW23" s="46">
        <v>118434798</v>
      </c>
      <c r="AX23" s="47">
        <v>0</v>
      </c>
      <c r="AY23" s="48" t="e">
        <f t="shared" ca="1" si="4"/>
        <v>#NAME?</v>
      </c>
      <c r="AZ23" s="49"/>
      <c r="BA23" s="49"/>
      <c r="BB23" s="49" t="s">
        <v>146</v>
      </c>
      <c r="BC23" s="51" t="s">
        <v>152</v>
      </c>
    </row>
    <row r="24" spans="1:55" s="52" customFormat="1" ht="37.5" customHeight="1">
      <c r="A24" s="34">
        <v>7</v>
      </c>
      <c r="B24" s="35" t="s">
        <v>43</v>
      </c>
      <c r="C24" s="34">
        <v>1</v>
      </c>
      <c r="D24" s="36" t="s">
        <v>44</v>
      </c>
      <c r="E24" s="34">
        <v>8</v>
      </c>
      <c r="F24" s="36" t="s">
        <v>139</v>
      </c>
      <c r="G24" s="37">
        <v>345</v>
      </c>
      <c r="H24" s="36" t="s">
        <v>153</v>
      </c>
      <c r="I24" s="38">
        <v>26</v>
      </c>
      <c r="J24" s="39" t="s">
        <v>154</v>
      </c>
      <c r="K24" s="38">
        <v>837</v>
      </c>
      <c r="L24" s="39" t="s">
        <v>142</v>
      </c>
      <c r="M24" s="38">
        <v>4</v>
      </c>
      <c r="N24" s="39" t="s">
        <v>115</v>
      </c>
      <c r="O24" s="40">
        <v>40</v>
      </c>
      <c r="P24" s="36" t="s">
        <v>116</v>
      </c>
      <c r="Q24" s="36" t="s">
        <v>155</v>
      </c>
      <c r="R24" s="39" t="s">
        <v>376</v>
      </c>
      <c r="S24" s="39" t="s">
        <v>378</v>
      </c>
      <c r="T24" s="35" t="s">
        <v>52</v>
      </c>
      <c r="U24" s="41">
        <v>1</v>
      </c>
      <c r="V24" s="42">
        <f t="shared" si="0"/>
        <v>1.125</v>
      </c>
      <c r="W24" s="42">
        <f t="shared" si="1"/>
        <v>1.125</v>
      </c>
      <c r="X24" s="42">
        <f t="shared" si="2"/>
        <v>0.875</v>
      </c>
      <c r="Y24" s="42">
        <f t="shared" si="3"/>
        <v>0.875</v>
      </c>
      <c r="Z24" s="38">
        <v>40</v>
      </c>
      <c r="AA24" s="40">
        <v>10</v>
      </c>
      <c r="AB24" s="40">
        <v>10</v>
      </c>
      <c r="AC24" s="40">
        <v>10</v>
      </c>
      <c r="AD24" s="40">
        <v>10</v>
      </c>
      <c r="AE24" s="40">
        <v>40</v>
      </c>
      <c r="AF24" s="40">
        <v>0</v>
      </c>
      <c r="AG24" s="40">
        <v>15</v>
      </c>
      <c r="AH24" s="43">
        <v>20</v>
      </c>
      <c r="AI24" s="44">
        <v>10</v>
      </c>
      <c r="AJ24" s="40">
        <v>45</v>
      </c>
      <c r="AK24" s="40">
        <v>0</v>
      </c>
      <c r="AL24" s="43">
        <v>15</v>
      </c>
      <c r="AM24" s="45">
        <v>20</v>
      </c>
      <c r="AN24" s="45">
        <v>0</v>
      </c>
      <c r="AO24" s="40">
        <v>35</v>
      </c>
      <c r="AP24" s="46">
        <v>237500000</v>
      </c>
      <c r="AQ24" s="46">
        <v>298951521</v>
      </c>
      <c r="AR24" s="46">
        <v>281852346</v>
      </c>
      <c r="AS24" s="47">
        <v>231000000</v>
      </c>
      <c r="AT24" s="46" t="e">
        <f t="shared" ca="1" si="5"/>
        <v>#NAME?</v>
      </c>
      <c r="AU24" s="46">
        <v>0</v>
      </c>
      <c r="AV24" s="46">
        <v>89685456</v>
      </c>
      <c r="AW24" s="46">
        <v>180385501</v>
      </c>
      <c r="AX24" s="47">
        <v>0</v>
      </c>
      <c r="AY24" s="48" t="e">
        <f t="shared" ca="1" si="4"/>
        <v>#NAME?</v>
      </c>
      <c r="AZ24" s="49"/>
      <c r="BA24" s="49"/>
      <c r="BB24" s="49" t="s">
        <v>146</v>
      </c>
      <c r="BC24" s="51" t="s">
        <v>156</v>
      </c>
    </row>
    <row r="25" spans="1:55" s="52" customFormat="1" ht="37.5" customHeight="1">
      <c r="A25" s="34">
        <v>7</v>
      </c>
      <c r="B25" s="35" t="s">
        <v>43</v>
      </c>
      <c r="C25" s="34">
        <v>1</v>
      </c>
      <c r="D25" s="36" t="s">
        <v>44</v>
      </c>
      <c r="E25" s="34">
        <v>8</v>
      </c>
      <c r="F25" s="36" t="s">
        <v>139</v>
      </c>
      <c r="G25" s="37">
        <v>346</v>
      </c>
      <c r="H25" s="36" t="s">
        <v>157</v>
      </c>
      <c r="I25" s="38">
        <v>28</v>
      </c>
      <c r="J25" s="39" t="s">
        <v>158</v>
      </c>
      <c r="K25" s="38">
        <v>837</v>
      </c>
      <c r="L25" s="39" t="s">
        <v>142</v>
      </c>
      <c r="M25" s="38"/>
      <c r="N25" s="39" t="s">
        <v>115</v>
      </c>
      <c r="O25" s="40">
        <v>1</v>
      </c>
      <c r="P25" s="36" t="s">
        <v>159</v>
      </c>
      <c r="Q25" s="36" t="s">
        <v>160</v>
      </c>
      <c r="R25" s="39" t="s">
        <v>376</v>
      </c>
      <c r="S25" s="39" t="s">
        <v>379</v>
      </c>
      <c r="T25" s="35" t="s">
        <v>52</v>
      </c>
      <c r="U25" s="41">
        <v>1</v>
      </c>
      <c r="V25" s="42">
        <f t="shared" si="0"/>
        <v>1</v>
      </c>
      <c r="W25" s="42">
        <f t="shared" si="1"/>
        <v>1</v>
      </c>
      <c r="X25" s="42">
        <f t="shared" si="2"/>
        <v>1</v>
      </c>
      <c r="Y25" s="42">
        <f t="shared" si="3"/>
        <v>1</v>
      </c>
      <c r="Z25" s="38">
        <v>0</v>
      </c>
      <c r="AA25" s="40"/>
      <c r="AB25" s="40"/>
      <c r="AC25" s="40"/>
      <c r="AD25" s="40"/>
      <c r="AE25" s="40">
        <v>0</v>
      </c>
      <c r="AF25" s="40">
        <v>0</v>
      </c>
      <c r="AG25" s="40">
        <v>1</v>
      </c>
      <c r="AH25" s="43">
        <v>0</v>
      </c>
      <c r="AI25" s="44">
        <v>0</v>
      </c>
      <c r="AJ25" s="40">
        <v>1</v>
      </c>
      <c r="AK25" s="40">
        <v>0</v>
      </c>
      <c r="AL25" s="43">
        <v>1</v>
      </c>
      <c r="AM25" s="45">
        <v>0</v>
      </c>
      <c r="AN25" s="45">
        <v>0</v>
      </c>
      <c r="AO25" s="40">
        <v>1</v>
      </c>
      <c r="AP25" s="46">
        <v>0</v>
      </c>
      <c r="AQ25" s="46">
        <v>130218158</v>
      </c>
      <c r="AR25" s="46">
        <v>0</v>
      </c>
      <c r="AS25" s="47">
        <v>0</v>
      </c>
      <c r="AT25" s="46" t="e">
        <f t="shared" ca="1" si="5"/>
        <v>#NAME?</v>
      </c>
      <c r="AU25" s="46">
        <v>0</v>
      </c>
      <c r="AV25" s="46">
        <v>65109079</v>
      </c>
      <c r="AW25" s="46">
        <v>172000000</v>
      </c>
      <c r="AX25" s="47">
        <v>0</v>
      </c>
      <c r="AY25" s="48" t="e">
        <f t="shared" ca="1" si="4"/>
        <v>#NAME?</v>
      </c>
      <c r="AZ25" s="49"/>
      <c r="BA25" s="49"/>
      <c r="BB25" s="49" t="s">
        <v>146</v>
      </c>
      <c r="BC25" s="51"/>
    </row>
    <row r="26" spans="1:55" s="52" customFormat="1" ht="37.5" customHeight="1">
      <c r="A26" s="34">
        <v>7</v>
      </c>
      <c r="B26" s="35" t="s">
        <v>43</v>
      </c>
      <c r="C26" s="34">
        <v>1</v>
      </c>
      <c r="D26" s="36" t="s">
        <v>44</v>
      </c>
      <c r="E26" s="34">
        <v>8</v>
      </c>
      <c r="F26" s="36" t="s">
        <v>139</v>
      </c>
      <c r="G26" s="37">
        <v>355</v>
      </c>
      <c r="H26" s="36" t="s">
        <v>161</v>
      </c>
      <c r="I26" s="38">
        <v>32</v>
      </c>
      <c r="J26" s="39" t="s">
        <v>162</v>
      </c>
      <c r="K26" s="38">
        <v>837</v>
      </c>
      <c r="L26" s="39" t="s">
        <v>142</v>
      </c>
      <c r="M26" s="38">
        <v>3</v>
      </c>
      <c r="N26" s="39" t="s">
        <v>56</v>
      </c>
      <c r="O26" s="40">
        <v>3000</v>
      </c>
      <c r="P26" s="36" t="s">
        <v>163</v>
      </c>
      <c r="Q26" s="36" t="s">
        <v>164</v>
      </c>
      <c r="R26" s="39" t="s">
        <v>376</v>
      </c>
      <c r="S26" s="39" t="s">
        <v>380</v>
      </c>
      <c r="T26" s="35" t="s">
        <v>52</v>
      </c>
      <c r="U26" s="41">
        <v>1</v>
      </c>
      <c r="V26" s="42">
        <f t="shared" si="0"/>
        <v>1.0166666666666666</v>
      </c>
      <c r="W26" s="42">
        <f t="shared" si="1"/>
        <v>1.0166666666666666</v>
      </c>
      <c r="X26" s="42">
        <f t="shared" si="2"/>
        <v>0.85933333333333328</v>
      </c>
      <c r="Y26" s="42">
        <f t="shared" si="3"/>
        <v>0.85933333333333328</v>
      </c>
      <c r="Z26" s="38">
        <v>0</v>
      </c>
      <c r="AA26" s="40">
        <v>750</v>
      </c>
      <c r="AB26" s="40">
        <v>750</v>
      </c>
      <c r="AC26" s="40">
        <v>750</v>
      </c>
      <c r="AD26" s="40">
        <v>750</v>
      </c>
      <c r="AE26" s="40">
        <v>3000</v>
      </c>
      <c r="AF26" s="40">
        <v>750</v>
      </c>
      <c r="AG26" s="40">
        <v>750</v>
      </c>
      <c r="AH26" s="43">
        <v>800</v>
      </c>
      <c r="AI26" s="44">
        <v>750</v>
      </c>
      <c r="AJ26" s="40">
        <v>3050</v>
      </c>
      <c r="AK26" s="40">
        <f>750+103</f>
        <v>853</v>
      </c>
      <c r="AL26" s="43">
        <v>875</v>
      </c>
      <c r="AM26" s="45">
        <v>850</v>
      </c>
      <c r="AN26" s="45">
        <v>0</v>
      </c>
      <c r="AO26" s="40">
        <v>2578</v>
      </c>
      <c r="AP26" s="46">
        <v>731444444</v>
      </c>
      <c r="AQ26" s="46">
        <v>726000000</v>
      </c>
      <c r="AR26" s="46">
        <f>734000000+16000000-3300000</f>
        <v>746700000</v>
      </c>
      <c r="AS26" s="47">
        <v>394665791</v>
      </c>
      <c r="AT26" s="46" t="e">
        <f t="shared" ca="1" si="5"/>
        <v>#NAME?</v>
      </c>
      <c r="AU26" s="46">
        <v>208333333</v>
      </c>
      <c r="AV26" s="46">
        <v>646650000</v>
      </c>
      <c r="AW26" s="46">
        <v>745100000</v>
      </c>
      <c r="AX26" s="47">
        <v>0</v>
      </c>
      <c r="AY26" s="48" t="e">
        <f t="shared" ca="1" si="4"/>
        <v>#NAME?</v>
      </c>
      <c r="AZ26" s="49"/>
      <c r="BA26" s="49"/>
      <c r="BB26" s="49" t="s">
        <v>53</v>
      </c>
      <c r="BC26" s="51" t="s">
        <v>165</v>
      </c>
    </row>
    <row r="27" spans="1:55" s="52" customFormat="1" ht="37.5" customHeight="1">
      <c r="A27" s="34">
        <v>7</v>
      </c>
      <c r="B27" s="35" t="s">
        <v>43</v>
      </c>
      <c r="C27" s="34">
        <v>1</v>
      </c>
      <c r="D27" s="36" t="s">
        <v>44</v>
      </c>
      <c r="E27" s="34">
        <v>8</v>
      </c>
      <c r="F27" s="36" t="s">
        <v>139</v>
      </c>
      <c r="G27" s="37">
        <v>347</v>
      </c>
      <c r="H27" s="36" t="s">
        <v>166</v>
      </c>
      <c r="I27" s="38">
        <v>30</v>
      </c>
      <c r="J27" s="39" t="s">
        <v>167</v>
      </c>
      <c r="K27" s="38">
        <v>838</v>
      </c>
      <c r="L27" s="39" t="s">
        <v>168</v>
      </c>
      <c r="M27" s="38">
        <v>2</v>
      </c>
      <c r="N27" s="39" t="s">
        <v>169</v>
      </c>
      <c r="O27" s="40">
        <v>250</v>
      </c>
      <c r="P27" s="36" t="s">
        <v>63</v>
      </c>
      <c r="Q27" s="36" t="s">
        <v>170</v>
      </c>
      <c r="R27" s="39" t="s">
        <v>376</v>
      </c>
      <c r="S27" s="39" t="s">
        <v>380</v>
      </c>
      <c r="T27" s="35" t="s">
        <v>85</v>
      </c>
      <c r="U27" s="41">
        <v>1</v>
      </c>
      <c r="V27" s="42">
        <f t="shared" si="0"/>
        <v>1.1679999999999999</v>
      </c>
      <c r="W27" s="42">
        <f t="shared" si="1"/>
        <v>1.1679999999999999</v>
      </c>
      <c r="X27" s="42">
        <f t="shared" si="2"/>
        <v>0.91800000000000004</v>
      </c>
      <c r="Y27" s="42">
        <f t="shared" si="3"/>
        <v>0.91800000000000004</v>
      </c>
      <c r="Z27" s="38">
        <v>0</v>
      </c>
      <c r="AA27" s="40">
        <v>250</v>
      </c>
      <c r="AB27" s="40">
        <v>250</v>
      </c>
      <c r="AC27" s="40">
        <v>250</v>
      </c>
      <c r="AD27" s="40">
        <v>250</v>
      </c>
      <c r="AE27" s="40">
        <v>250</v>
      </c>
      <c r="AF27" s="40">
        <v>520</v>
      </c>
      <c r="AG27" s="40">
        <v>398</v>
      </c>
      <c r="AH27" s="43">
        <v>0</v>
      </c>
      <c r="AI27" s="44">
        <v>250</v>
      </c>
      <c r="AJ27" s="40">
        <v>292</v>
      </c>
      <c r="AK27" s="40">
        <v>520</v>
      </c>
      <c r="AL27" s="43">
        <v>398</v>
      </c>
      <c r="AM27" s="45">
        <v>0</v>
      </c>
      <c r="AN27" s="45">
        <v>0</v>
      </c>
      <c r="AO27" s="40">
        <v>229.5</v>
      </c>
      <c r="AP27" s="46">
        <v>221779446</v>
      </c>
      <c r="AQ27" s="46">
        <v>171428571</v>
      </c>
      <c r="AR27" s="46">
        <v>0</v>
      </c>
      <c r="AS27" s="47">
        <v>158926456</v>
      </c>
      <c r="AT27" s="46" t="e">
        <f t="shared" ca="1" si="5"/>
        <v>#NAME?</v>
      </c>
      <c r="AU27" s="46">
        <v>0</v>
      </c>
      <c r="AV27" s="46">
        <v>0</v>
      </c>
      <c r="AW27" s="46">
        <v>0</v>
      </c>
      <c r="AX27" s="47">
        <v>0</v>
      </c>
      <c r="AY27" s="48" t="e">
        <f t="shared" ca="1" si="4"/>
        <v>#NAME?</v>
      </c>
      <c r="AZ27" s="49"/>
      <c r="BA27" s="49"/>
      <c r="BB27" s="49" t="s">
        <v>65</v>
      </c>
      <c r="BC27" s="51"/>
    </row>
    <row r="28" spans="1:55" s="52" customFormat="1" ht="37.5" customHeight="1">
      <c r="A28" s="34">
        <v>7</v>
      </c>
      <c r="B28" s="35" t="s">
        <v>43</v>
      </c>
      <c r="C28" s="34">
        <v>1</v>
      </c>
      <c r="D28" s="36" t="s">
        <v>44</v>
      </c>
      <c r="E28" s="34">
        <v>8</v>
      </c>
      <c r="F28" s="36" t="s">
        <v>139</v>
      </c>
      <c r="G28" s="37">
        <v>348</v>
      </c>
      <c r="H28" s="36" t="s">
        <v>171</v>
      </c>
      <c r="I28" s="38">
        <v>32</v>
      </c>
      <c r="J28" s="39" t="s">
        <v>162</v>
      </c>
      <c r="K28" s="38">
        <v>838</v>
      </c>
      <c r="L28" s="39" t="s">
        <v>168</v>
      </c>
      <c r="M28" s="38">
        <v>3</v>
      </c>
      <c r="N28" s="39" t="s">
        <v>56</v>
      </c>
      <c r="O28" s="40">
        <v>7200</v>
      </c>
      <c r="P28" s="36" t="s">
        <v>125</v>
      </c>
      <c r="Q28" s="36" t="s">
        <v>172</v>
      </c>
      <c r="R28" s="39" t="s">
        <v>376</v>
      </c>
      <c r="S28" s="39" t="s">
        <v>380</v>
      </c>
      <c r="T28" s="35" t="s">
        <v>52</v>
      </c>
      <c r="U28" s="41">
        <v>1</v>
      </c>
      <c r="V28" s="42">
        <f t="shared" si="0"/>
        <v>1</v>
      </c>
      <c r="W28" s="42">
        <f t="shared" si="1"/>
        <v>1</v>
      </c>
      <c r="X28" s="42">
        <f t="shared" si="2"/>
        <v>0.77777777777777779</v>
      </c>
      <c r="Y28" s="42">
        <f t="shared" si="3"/>
        <v>0.77777777777777779</v>
      </c>
      <c r="Z28" s="38">
        <v>5600</v>
      </c>
      <c r="AA28" s="40">
        <v>1800</v>
      </c>
      <c r="AB28" s="40">
        <v>1800</v>
      </c>
      <c r="AC28" s="40">
        <v>1800</v>
      </c>
      <c r="AD28" s="40">
        <v>1800</v>
      </c>
      <c r="AE28" s="40">
        <v>7200</v>
      </c>
      <c r="AF28" s="40">
        <v>1800</v>
      </c>
      <c r="AG28" s="40">
        <v>2800</v>
      </c>
      <c r="AH28" s="43">
        <v>1000</v>
      </c>
      <c r="AI28" s="44">
        <v>1600</v>
      </c>
      <c r="AJ28" s="40">
        <v>7200</v>
      </c>
      <c r="AK28" s="40">
        <v>1800</v>
      </c>
      <c r="AL28" s="43">
        <v>2800</v>
      </c>
      <c r="AM28" s="45">
        <v>1000</v>
      </c>
      <c r="AN28" s="45">
        <v>0</v>
      </c>
      <c r="AO28" s="40">
        <v>5600</v>
      </c>
      <c r="AP28" s="46">
        <v>487108000</v>
      </c>
      <c r="AQ28" s="46">
        <v>672000000</v>
      </c>
      <c r="AR28" s="46">
        <v>286500000</v>
      </c>
      <c r="AS28" s="47">
        <v>572338838</v>
      </c>
      <c r="AT28" s="46" t="e">
        <f t="shared" ca="1" si="5"/>
        <v>#NAME?</v>
      </c>
      <c r="AU28" s="46">
        <v>0</v>
      </c>
      <c r="AV28" s="46">
        <v>0</v>
      </c>
      <c r="AW28" s="46">
        <v>136151703</v>
      </c>
      <c r="AX28" s="47">
        <v>0</v>
      </c>
      <c r="AY28" s="48" t="e">
        <f t="shared" ca="1" si="4"/>
        <v>#NAME?</v>
      </c>
      <c r="AZ28" s="49"/>
      <c r="BA28" s="49"/>
      <c r="BB28" s="49" t="s">
        <v>65</v>
      </c>
      <c r="BC28" s="51"/>
    </row>
    <row r="29" spans="1:55" s="52" customFormat="1" ht="37.5" customHeight="1">
      <c r="A29" s="34">
        <v>7</v>
      </c>
      <c r="B29" s="35" t="s">
        <v>43</v>
      </c>
      <c r="C29" s="34">
        <v>1</v>
      </c>
      <c r="D29" s="36" t="s">
        <v>44</v>
      </c>
      <c r="E29" s="34">
        <v>8</v>
      </c>
      <c r="F29" s="36" t="s">
        <v>139</v>
      </c>
      <c r="G29" s="37">
        <v>349</v>
      </c>
      <c r="H29" s="36" t="s">
        <v>173</v>
      </c>
      <c r="I29" s="38">
        <v>31</v>
      </c>
      <c r="J29" s="39" t="s">
        <v>174</v>
      </c>
      <c r="K29" s="38">
        <v>838</v>
      </c>
      <c r="L29" s="39" t="s">
        <v>168</v>
      </c>
      <c r="M29" s="38">
        <v>1</v>
      </c>
      <c r="N29" s="39" t="s">
        <v>143</v>
      </c>
      <c r="O29" s="40">
        <v>32</v>
      </c>
      <c r="P29" s="36" t="s">
        <v>144</v>
      </c>
      <c r="Q29" s="36" t="s">
        <v>175</v>
      </c>
      <c r="R29" s="39" t="s">
        <v>376</v>
      </c>
      <c r="S29" s="39" t="s">
        <v>380</v>
      </c>
      <c r="T29" s="35" t="s">
        <v>52</v>
      </c>
      <c r="U29" s="41">
        <v>1</v>
      </c>
      <c r="V29" s="42">
        <f t="shared" si="0"/>
        <v>1</v>
      </c>
      <c r="W29" s="42">
        <f t="shared" si="1"/>
        <v>1</v>
      </c>
      <c r="X29" s="42">
        <f t="shared" si="2"/>
        <v>0.6875</v>
      </c>
      <c r="Y29" s="42">
        <f t="shared" si="3"/>
        <v>0.6875</v>
      </c>
      <c r="Z29" s="38">
        <v>32</v>
      </c>
      <c r="AA29" s="40">
        <v>8</v>
      </c>
      <c r="AB29" s="40">
        <v>8</v>
      </c>
      <c r="AC29" s="40">
        <v>8</v>
      </c>
      <c r="AD29" s="40">
        <v>8</v>
      </c>
      <c r="AE29" s="40">
        <v>32</v>
      </c>
      <c r="AF29" s="40">
        <f>1+7</f>
        <v>8</v>
      </c>
      <c r="AG29" s="40">
        <f>8+2</f>
        <v>10</v>
      </c>
      <c r="AH29" s="43">
        <v>6</v>
      </c>
      <c r="AI29" s="44">
        <v>8</v>
      </c>
      <c r="AJ29" s="40">
        <v>32</v>
      </c>
      <c r="AK29" s="40">
        <v>6</v>
      </c>
      <c r="AL29" s="43">
        <v>10</v>
      </c>
      <c r="AM29" s="45">
        <v>6</v>
      </c>
      <c r="AN29" s="45">
        <v>0</v>
      </c>
      <c r="AO29" s="40">
        <v>22</v>
      </c>
      <c r="AP29" s="46">
        <v>990638506</v>
      </c>
      <c r="AQ29" s="46">
        <v>1267346442</v>
      </c>
      <c r="AR29" s="46">
        <v>790871000</v>
      </c>
      <c r="AS29" s="47">
        <v>1203457200</v>
      </c>
      <c r="AT29" s="46" t="e">
        <f t="shared" ca="1" si="5"/>
        <v>#NAME?</v>
      </c>
      <c r="AU29" s="46">
        <v>52062852</v>
      </c>
      <c r="AV29" s="46">
        <v>0</v>
      </c>
      <c r="AW29" s="46">
        <v>195797000</v>
      </c>
      <c r="AX29" s="47">
        <v>0</v>
      </c>
      <c r="AY29" s="48" t="e">
        <f t="shared" ca="1" si="4"/>
        <v>#NAME?</v>
      </c>
      <c r="AZ29" s="49"/>
      <c r="BA29" s="49"/>
      <c r="BB29" s="49" t="s">
        <v>65</v>
      </c>
      <c r="BC29" s="51" t="s">
        <v>176</v>
      </c>
    </row>
    <row r="30" spans="1:55" s="52" customFormat="1" ht="37.5" customHeight="1">
      <c r="A30" s="34">
        <v>7</v>
      </c>
      <c r="B30" s="35" t="s">
        <v>43</v>
      </c>
      <c r="C30" s="34">
        <v>1</v>
      </c>
      <c r="D30" s="36" t="s">
        <v>44</v>
      </c>
      <c r="E30" s="34">
        <v>8</v>
      </c>
      <c r="F30" s="36" t="s">
        <v>139</v>
      </c>
      <c r="G30" s="37">
        <v>350</v>
      </c>
      <c r="H30" s="36" t="s">
        <v>177</v>
      </c>
      <c r="I30" s="38">
        <v>35</v>
      </c>
      <c r="J30" s="39" t="s">
        <v>178</v>
      </c>
      <c r="K30" s="38">
        <v>839</v>
      </c>
      <c r="L30" s="39" t="s">
        <v>179</v>
      </c>
      <c r="M30" s="38">
        <v>1</v>
      </c>
      <c r="N30" s="39" t="s">
        <v>180</v>
      </c>
      <c r="O30" s="40">
        <v>28</v>
      </c>
      <c r="P30" s="36" t="s">
        <v>181</v>
      </c>
      <c r="Q30" s="36" t="s">
        <v>182</v>
      </c>
      <c r="R30" s="39" t="s">
        <v>376</v>
      </c>
      <c r="S30" s="39" t="s">
        <v>381</v>
      </c>
      <c r="T30" s="35" t="s">
        <v>52</v>
      </c>
      <c r="U30" s="41">
        <v>1</v>
      </c>
      <c r="V30" s="42">
        <f t="shared" si="0"/>
        <v>1.4642857142857142</v>
      </c>
      <c r="W30" s="42">
        <f t="shared" si="1"/>
        <v>1.4642857142857142</v>
      </c>
      <c r="X30" s="42">
        <f t="shared" si="2"/>
        <v>1.1071428571428572</v>
      </c>
      <c r="Y30" s="42">
        <f t="shared" si="3"/>
        <v>1.1071428571428572</v>
      </c>
      <c r="Z30" s="38">
        <v>51</v>
      </c>
      <c r="AA30" s="40">
        <v>7</v>
      </c>
      <c r="AB30" s="40">
        <v>7</v>
      </c>
      <c r="AC30" s="40">
        <v>7</v>
      </c>
      <c r="AD30" s="40">
        <v>7</v>
      </c>
      <c r="AE30" s="40">
        <v>28</v>
      </c>
      <c r="AF30" s="40">
        <v>11</v>
      </c>
      <c r="AG30" s="40">
        <v>13</v>
      </c>
      <c r="AH30" s="43">
        <v>6</v>
      </c>
      <c r="AI30" s="44">
        <v>11</v>
      </c>
      <c r="AJ30" s="40">
        <v>41</v>
      </c>
      <c r="AK30" s="40">
        <v>12</v>
      </c>
      <c r="AL30" s="43">
        <f>12+1</f>
        <v>13</v>
      </c>
      <c r="AM30" s="45">
        <v>6</v>
      </c>
      <c r="AN30" s="45">
        <v>0</v>
      </c>
      <c r="AO30" s="40">
        <v>31</v>
      </c>
      <c r="AP30" s="46">
        <v>2112521214</v>
      </c>
      <c r="AQ30" s="46">
        <v>3154281186</v>
      </c>
      <c r="AR30" s="46">
        <f>3908445635+194881906</f>
        <v>4103327541</v>
      </c>
      <c r="AS30" s="47">
        <v>1986973476</v>
      </c>
      <c r="AT30" s="46" t="e">
        <f t="shared" ca="1" si="5"/>
        <v>#NAME?</v>
      </c>
      <c r="AU30" s="46">
        <v>258401511</v>
      </c>
      <c r="AV30" s="46">
        <v>970597177</v>
      </c>
      <c r="AW30" s="84">
        <v>3479494283.75454</v>
      </c>
      <c r="AX30" s="47">
        <v>0</v>
      </c>
      <c r="AY30" s="48" t="e">
        <f t="shared" ca="1" si="4"/>
        <v>#NAME?</v>
      </c>
      <c r="AZ30" s="49"/>
      <c r="BA30" s="49"/>
      <c r="BB30" s="50" t="s">
        <v>183</v>
      </c>
      <c r="BC30" s="51" t="s">
        <v>184</v>
      </c>
    </row>
    <row r="31" spans="1:55" s="52" customFormat="1" ht="37.5" customHeight="1">
      <c r="A31" s="34">
        <v>7</v>
      </c>
      <c r="B31" s="35" t="s">
        <v>43</v>
      </c>
      <c r="C31" s="34">
        <v>1</v>
      </c>
      <c r="D31" s="36" t="s">
        <v>44</v>
      </c>
      <c r="E31" s="34">
        <v>8</v>
      </c>
      <c r="F31" s="36" t="s">
        <v>139</v>
      </c>
      <c r="G31" s="37">
        <v>351</v>
      </c>
      <c r="H31" s="36" t="s">
        <v>185</v>
      </c>
      <c r="I31" s="38">
        <v>37</v>
      </c>
      <c r="J31" s="39" t="s">
        <v>186</v>
      </c>
      <c r="K31" s="38">
        <v>839</v>
      </c>
      <c r="L31" s="39" t="s">
        <v>179</v>
      </c>
      <c r="M31" s="38">
        <v>2</v>
      </c>
      <c r="N31" s="39" t="s">
        <v>187</v>
      </c>
      <c r="O31" s="40">
        <v>6</v>
      </c>
      <c r="P31" s="36" t="s">
        <v>181</v>
      </c>
      <c r="Q31" s="36" t="s">
        <v>188</v>
      </c>
      <c r="R31" s="39" t="s">
        <v>376</v>
      </c>
      <c r="S31" s="39" t="s">
        <v>381</v>
      </c>
      <c r="T31" s="35" t="s">
        <v>52</v>
      </c>
      <c r="U31" s="41">
        <v>1</v>
      </c>
      <c r="V31" s="42">
        <f t="shared" si="0"/>
        <v>0.83333333333333337</v>
      </c>
      <c r="W31" s="42">
        <f t="shared" si="1"/>
        <v>0.83333333333333337</v>
      </c>
      <c r="X31" s="42">
        <f t="shared" si="2"/>
        <v>0.16666666666666666</v>
      </c>
      <c r="Y31" s="42">
        <f t="shared" si="3"/>
        <v>0.16666666666666666</v>
      </c>
      <c r="Z31" s="38">
        <v>0</v>
      </c>
      <c r="AA31" s="40">
        <v>1</v>
      </c>
      <c r="AB31" s="40">
        <v>2</v>
      </c>
      <c r="AC31" s="40">
        <v>3</v>
      </c>
      <c r="AD31" s="40">
        <v>0</v>
      </c>
      <c r="AE31" s="40">
        <v>6</v>
      </c>
      <c r="AF31" s="40">
        <v>0</v>
      </c>
      <c r="AG31" s="40">
        <v>0</v>
      </c>
      <c r="AH31" s="43">
        <v>1</v>
      </c>
      <c r="AI31" s="44">
        <v>4</v>
      </c>
      <c r="AJ31" s="40">
        <v>5</v>
      </c>
      <c r="AK31" s="40">
        <v>0</v>
      </c>
      <c r="AL31" s="43">
        <v>0</v>
      </c>
      <c r="AM31" s="45">
        <v>1</v>
      </c>
      <c r="AN31" s="45">
        <v>0</v>
      </c>
      <c r="AO31" s="40">
        <v>1</v>
      </c>
      <c r="AP31" s="46">
        <v>132387546</v>
      </c>
      <c r="AQ31" s="85">
        <v>62890497.333333299</v>
      </c>
      <c r="AR31" s="46">
        <v>646645427</v>
      </c>
      <c r="AS31" s="47">
        <v>2584174207</v>
      </c>
      <c r="AT31" s="46" t="e">
        <f t="shared" ca="1" si="5"/>
        <v>#NAME?</v>
      </c>
      <c r="AU31" s="46">
        <v>0</v>
      </c>
      <c r="AV31" s="46">
        <v>20398407</v>
      </c>
      <c r="AW31" s="46">
        <v>646645427.29999995</v>
      </c>
      <c r="AX31" s="47">
        <v>0</v>
      </c>
      <c r="AY31" s="48" t="e">
        <f t="shared" ca="1" si="4"/>
        <v>#NAME?</v>
      </c>
      <c r="AZ31" s="49"/>
      <c r="BA31" s="49"/>
      <c r="BB31" s="50" t="s">
        <v>183</v>
      </c>
      <c r="BC31" s="51" t="s">
        <v>189</v>
      </c>
    </row>
    <row r="32" spans="1:55" s="52" customFormat="1" ht="37.5" customHeight="1">
      <c r="A32" s="34">
        <v>7</v>
      </c>
      <c r="B32" s="35" t="s">
        <v>43</v>
      </c>
      <c r="C32" s="34">
        <v>1</v>
      </c>
      <c r="D32" s="36" t="s">
        <v>44</v>
      </c>
      <c r="E32" s="34">
        <v>8</v>
      </c>
      <c r="F32" s="36" t="s">
        <v>139</v>
      </c>
      <c r="G32" s="37">
        <v>352</v>
      </c>
      <c r="H32" s="36" t="s">
        <v>190</v>
      </c>
      <c r="I32" s="38">
        <v>36</v>
      </c>
      <c r="J32" s="39" t="s">
        <v>191</v>
      </c>
      <c r="K32" s="38">
        <v>839</v>
      </c>
      <c r="L32" s="39" t="s">
        <v>179</v>
      </c>
      <c r="M32" s="38">
        <v>3</v>
      </c>
      <c r="N32" s="39" t="s">
        <v>187</v>
      </c>
      <c r="O32" s="40">
        <v>4</v>
      </c>
      <c r="P32" s="36" t="s">
        <v>181</v>
      </c>
      <c r="Q32" s="36" t="s">
        <v>182</v>
      </c>
      <c r="R32" s="39" t="s">
        <v>376</v>
      </c>
      <c r="S32" s="39" t="s">
        <v>381</v>
      </c>
      <c r="T32" s="35" t="s">
        <v>52</v>
      </c>
      <c r="U32" s="41">
        <v>1</v>
      </c>
      <c r="V32" s="42">
        <f t="shared" si="0"/>
        <v>1.5</v>
      </c>
      <c r="W32" s="42">
        <f t="shared" si="1"/>
        <v>1.5</v>
      </c>
      <c r="X32" s="42">
        <f t="shared" si="2"/>
        <v>0.25</v>
      </c>
      <c r="Y32" s="42">
        <f t="shared" si="3"/>
        <v>0.25</v>
      </c>
      <c r="Z32" s="38">
        <v>0</v>
      </c>
      <c r="AA32" s="40">
        <v>1</v>
      </c>
      <c r="AB32" s="40">
        <v>1</v>
      </c>
      <c r="AC32" s="40">
        <v>2</v>
      </c>
      <c r="AD32" s="40">
        <v>0</v>
      </c>
      <c r="AE32" s="40">
        <v>4</v>
      </c>
      <c r="AF32" s="40">
        <v>0</v>
      </c>
      <c r="AG32" s="40">
        <v>0</v>
      </c>
      <c r="AH32" s="43">
        <v>1</v>
      </c>
      <c r="AI32" s="44">
        <v>5</v>
      </c>
      <c r="AJ32" s="40">
        <v>6</v>
      </c>
      <c r="AK32" s="40">
        <v>0</v>
      </c>
      <c r="AL32" s="43">
        <v>0</v>
      </c>
      <c r="AM32" s="45">
        <v>1</v>
      </c>
      <c r="AN32" s="45">
        <v>0</v>
      </c>
      <c r="AO32" s="40">
        <v>1</v>
      </c>
      <c r="AP32" s="46">
        <v>144396088</v>
      </c>
      <c r="AQ32" s="85">
        <v>60748304.666666701</v>
      </c>
      <c r="AR32" s="46">
        <v>646645427</v>
      </c>
      <c r="AS32" s="47">
        <v>2067339366</v>
      </c>
      <c r="AT32" s="46" t="e">
        <f t="shared" ca="1" si="5"/>
        <v>#NAME?</v>
      </c>
      <c r="AU32" s="46">
        <v>0</v>
      </c>
      <c r="AV32" s="46">
        <v>0</v>
      </c>
      <c r="AW32" s="46">
        <v>646645427.29999995</v>
      </c>
      <c r="AX32" s="47">
        <v>0</v>
      </c>
      <c r="AY32" s="48" t="e">
        <f t="shared" ca="1" si="4"/>
        <v>#NAME?</v>
      </c>
      <c r="AZ32" s="49"/>
      <c r="BA32" s="49"/>
      <c r="BB32" s="50" t="s">
        <v>183</v>
      </c>
      <c r="BC32" s="51" t="s">
        <v>192</v>
      </c>
    </row>
    <row r="33" spans="1:57" s="52" customFormat="1" ht="37.5" customHeight="1">
      <c r="A33" s="34">
        <v>7</v>
      </c>
      <c r="B33" s="35" t="s">
        <v>43</v>
      </c>
      <c r="C33" s="34">
        <v>1</v>
      </c>
      <c r="D33" s="36" t="s">
        <v>44</v>
      </c>
      <c r="E33" s="34">
        <v>8</v>
      </c>
      <c r="F33" s="36" t="s">
        <v>139</v>
      </c>
      <c r="G33" s="37">
        <v>353</v>
      </c>
      <c r="H33" s="36" t="s">
        <v>193</v>
      </c>
      <c r="I33" s="38">
        <v>35</v>
      </c>
      <c r="J33" s="39" t="s">
        <v>178</v>
      </c>
      <c r="K33" s="38">
        <v>839</v>
      </c>
      <c r="L33" s="39" t="s">
        <v>179</v>
      </c>
      <c r="M33" s="38">
        <v>4</v>
      </c>
      <c r="N33" s="39" t="s">
        <v>180</v>
      </c>
      <c r="O33" s="40">
        <v>60</v>
      </c>
      <c r="P33" s="36" t="s">
        <v>181</v>
      </c>
      <c r="Q33" s="36" t="s">
        <v>188</v>
      </c>
      <c r="R33" s="39" t="s">
        <v>376</v>
      </c>
      <c r="S33" s="39" t="s">
        <v>381</v>
      </c>
      <c r="T33" s="35" t="s">
        <v>52</v>
      </c>
      <c r="U33" s="41">
        <v>1</v>
      </c>
      <c r="V33" s="42">
        <f t="shared" si="0"/>
        <v>0.8</v>
      </c>
      <c r="W33" s="42">
        <f t="shared" si="1"/>
        <v>0.8</v>
      </c>
      <c r="X33" s="42">
        <f t="shared" si="2"/>
        <v>0.75</v>
      </c>
      <c r="Y33" s="42">
        <f t="shared" si="3"/>
        <v>0.75</v>
      </c>
      <c r="Z33" s="38">
        <v>51</v>
      </c>
      <c r="AA33" s="40">
        <v>15</v>
      </c>
      <c r="AB33" s="40">
        <v>15</v>
      </c>
      <c r="AC33" s="40">
        <v>15</v>
      </c>
      <c r="AD33" s="40">
        <v>15</v>
      </c>
      <c r="AE33" s="40">
        <v>60</v>
      </c>
      <c r="AF33" s="40">
        <v>18</v>
      </c>
      <c r="AG33" s="40">
        <v>14</v>
      </c>
      <c r="AH33" s="43">
        <v>14</v>
      </c>
      <c r="AI33" s="44">
        <v>2</v>
      </c>
      <c r="AJ33" s="40">
        <v>48</v>
      </c>
      <c r="AK33" s="40">
        <v>17</v>
      </c>
      <c r="AL33" s="43">
        <f>13+1</f>
        <v>14</v>
      </c>
      <c r="AM33" s="45">
        <v>14</v>
      </c>
      <c r="AN33" s="45">
        <v>0</v>
      </c>
      <c r="AO33" s="40">
        <v>45</v>
      </c>
      <c r="AP33" s="46">
        <v>1084034350</v>
      </c>
      <c r="AQ33" s="46">
        <v>1832078980</v>
      </c>
      <c r="AR33" s="46">
        <v>2687103679</v>
      </c>
      <c r="AS33" s="47">
        <v>361305604</v>
      </c>
      <c r="AT33" s="46" t="e">
        <f t="shared" ca="1" si="5"/>
        <v>#NAME?</v>
      </c>
      <c r="AU33" s="46">
        <v>0</v>
      </c>
      <c r="AV33" s="46">
        <v>480599550</v>
      </c>
      <c r="AW33" s="46">
        <v>2667763991.6454601</v>
      </c>
      <c r="AX33" s="47">
        <v>0</v>
      </c>
      <c r="AY33" s="48" t="e">
        <f t="shared" ca="1" si="4"/>
        <v>#NAME?</v>
      </c>
      <c r="AZ33" s="49"/>
      <c r="BA33" s="49"/>
      <c r="BB33" s="50" t="s">
        <v>183</v>
      </c>
      <c r="BC33" s="51" t="s">
        <v>194</v>
      </c>
    </row>
    <row r="34" spans="1:57" s="52" customFormat="1" ht="37.5" customHeight="1">
      <c r="A34" s="34">
        <v>7</v>
      </c>
      <c r="B34" s="35" t="s">
        <v>43</v>
      </c>
      <c r="C34" s="34">
        <v>1</v>
      </c>
      <c r="D34" s="36" t="s">
        <v>44</v>
      </c>
      <c r="E34" s="34">
        <v>8</v>
      </c>
      <c r="F34" s="36" t="s">
        <v>139</v>
      </c>
      <c r="G34" s="37">
        <v>354</v>
      </c>
      <c r="H34" s="36" t="s">
        <v>195</v>
      </c>
      <c r="I34" s="38" t="s">
        <v>382</v>
      </c>
      <c r="J34" s="39" t="s">
        <v>196</v>
      </c>
      <c r="K34" s="38">
        <v>839</v>
      </c>
      <c r="L34" s="39" t="s">
        <v>179</v>
      </c>
      <c r="M34" s="38"/>
      <c r="N34" s="39" t="s">
        <v>49</v>
      </c>
      <c r="O34" s="40">
        <v>1</v>
      </c>
      <c r="P34" s="36" t="s">
        <v>197</v>
      </c>
      <c r="Q34" s="36" t="s">
        <v>198</v>
      </c>
      <c r="R34" s="39" t="s">
        <v>382</v>
      </c>
      <c r="S34" s="39" t="s">
        <v>382</v>
      </c>
      <c r="T34" s="35" t="s">
        <v>52</v>
      </c>
      <c r="U34" s="41">
        <v>1</v>
      </c>
      <c r="V34" s="42">
        <f t="shared" si="0"/>
        <v>1</v>
      </c>
      <c r="W34" s="42">
        <f t="shared" si="1"/>
        <v>1</v>
      </c>
      <c r="X34" s="42">
        <f t="shared" si="2"/>
        <v>0</v>
      </c>
      <c r="Y34" s="42">
        <f t="shared" si="3"/>
        <v>0</v>
      </c>
      <c r="Z34" s="38">
        <v>0</v>
      </c>
      <c r="AA34" s="40">
        <v>0</v>
      </c>
      <c r="AB34" s="40">
        <v>1</v>
      </c>
      <c r="AC34" s="40">
        <v>0</v>
      </c>
      <c r="AD34" s="40">
        <v>0</v>
      </c>
      <c r="AE34" s="40">
        <v>1</v>
      </c>
      <c r="AF34" s="40">
        <v>0</v>
      </c>
      <c r="AG34" s="40">
        <v>1</v>
      </c>
      <c r="AH34" s="43">
        <v>0</v>
      </c>
      <c r="AI34" s="44">
        <v>0</v>
      </c>
      <c r="AJ34" s="40">
        <v>1</v>
      </c>
      <c r="AK34" s="40">
        <v>0</v>
      </c>
      <c r="AL34" s="43">
        <v>0</v>
      </c>
      <c r="AM34" s="45">
        <v>0</v>
      </c>
      <c r="AN34" s="45">
        <v>0</v>
      </c>
      <c r="AO34" s="40">
        <v>0</v>
      </c>
      <c r="AP34" s="46">
        <v>0</v>
      </c>
      <c r="AQ34" s="46">
        <v>300000000</v>
      </c>
      <c r="AR34" s="46">
        <v>0</v>
      </c>
      <c r="AS34" s="47">
        <v>0</v>
      </c>
      <c r="AT34" s="46" t="e">
        <f t="shared" ca="1" si="5"/>
        <v>#NAME?</v>
      </c>
      <c r="AU34" s="46">
        <v>0</v>
      </c>
      <c r="AV34" s="46">
        <v>0</v>
      </c>
      <c r="AW34" s="46">
        <v>0</v>
      </c>
      <c r="AX34" s="47">
        <v>0</v>
      </c>
      <c r="AY34" s="48" t="e">
        <f t="shared" ca="1" si="4"/>
        <v>#NAME?</v>
      </c>
      <c r="AZ34" s="49"/>
      <c r="BA34" s="49"/>
      <c r="BB34" s="50" t="s">
        <v>183</v>
      </c>
      <c r="BC34" s="51"/>
    </row>
    <row r="35" spans="1:57" s="52" customFormat="1" ht="37.5" customHeight="1">
      <c r="A35" s="34">
        <v>7</v>
      </c>
      <c r="B35" s="35" t="s">
        <v>43</v>
      </c>
      <c r="C35" s="34">
        <v>1</v>
      </c>
      <c r="D35" s="36" t="s">
        <v>44</v>
      </c>
      <c r="E35" s="34">
        <v>15</v>
      </c>
      <c r="F35" s="36" t="s">
        <v>199</v>
      </c>
      <c r="G35" s="37">
        <v>356</v>
      </c>
      <c r="H35" s="36" t="s">
        <v>200</v>
      </c>
      <c r="I35" s="38" t="s">
        <v>382</v>
      </c>
      <c r="J35" s="39" t="s">
        <v>196</v>
      </c>
      <c r="K35" s="38">
        <v>840</v>
      </c>
      <c r="L35" s="39" t="s">
        <v>201</v>
      </c>
      <c r="M35" s="38">
        <v>1</v>
      </c>
      <c r="N35" s="39" t="s">
        <v>143</v>
      </c>
      <c r="O35" s="40">
        <v>100</v>
      </c>
      <c r="P35" s="36" t="s">
        <v>202</v>
      </c>
      <c r="Q35" s="36" t="s">
        <v>203</v>
      </c>
      <c r="R35" s="39" t="s">
        <v>382</v>
      </c>
      <c r="S35" s="39" t="s">
        <v>382</v>
      </c>
      <c r="T35" s="35" t="s">
        <v>52</v>
      </c>
      <c r="U35" s="41">
        <v>1</v>
      </c>
      <c r="V35" s="42">
        <f t="shared" ref="V35:V66" si="6">AJ35/O35</f>
        <v>0</v>
      </c>
      <c r="W35" s="42">
        <f t="shared" ref="W35:W66" si="7">U35*V35</f>
        <v>0</v>
      </c>
      <c r="X35" s="42">
        <f t="shared" ref="X35:X66" si="8">AO35/O35</f>
        <v>0</v>
      </c>
      <c r="Y35" s="42">
        <f t="shared" ref="Y35:Y66" si="9">X35*U35</f>
        <v>0</v>
      </c>
      <c r="Z35" s="38">
        <v>1</v>
      </c>
      <c r="AA35" s="40">
        <v>50</v>
      </c>
      <c r="AB35" s="40">
        <v>100</v>
      </c>
      <c r="AC35" s="40">
        <v>0</v>
      </c>
      <c r="AD35" s="40">
        <v>0</v>
      </c>
      <c r="AE35" s="40">
        <v>100</v>
      </c>
      <c r="AF35" s="40">
        <v>0</v>
      </c>
      <c r="AG35" s="40">
        <v>0</v>
      </c>
      <c r="AH35" s="43">
        <v>0</v>
      </c>
      <c r="AI35" s="44">
        <v>0</v>
      </c>
      <c r="AJ35" s="40">
        <v>0</v>
      </c>
      <c r="AK35" s="40">
        <v>0</v>
      </c>
      <c r="AL35" s="43">
        <v>0</v>
      </c>
      <c r="AM35" s="45">
        <v>0</v>
      </c>
      <c r="AN35" s="45">
        <v>0</v>
      </c>
      <c r="AO35" s="40">
        <v>0</v>
      </c>
      <c r="AP35" s="46">
        <v>0</v>
      </c>
      <c r="AQ35" s="46">
        <v>0</v>
      </c>
      <c r="AR35" s="46">
        <v>0</v>
      </c>
      <c r="AS35" s="47">
        <v>0</v>
      </c>
      <c r="AT35" s="46" t="e">
        <f t="shared" ca="1" si="5"/>
        <v>#NAME?</v>
      </c>
      <c r="AU35" s="46">
        <v>0</v>
      </c>
      <c r="AV35" s="46">
        <v>0</v>
      </c>
      <c r="AW35" s="46">
        <v>0</v>
      </c>
      <c r="AX35" s="47">
        <v>0</v>
      </c>
      <c r="AY35" s="48" t="e">
        <f t="shared" ref="AY35:AY66" ca="1" si="10">SUMA(AU35:AX35)</f>
        <v>#NAME?</v>
      </c>
      <c r="AZ35" s="49"/>
      <c r="BA35" s="49"/>
      <c r="BB35" s="49" t="s">
        <v>65</v>
      </c>
      <c r="BC35" s="51"/>
    </row>
    <row r="36" spans="1:57" s="52" customFormat="1" ht="37.5" customHeight="1">
      <c r="A36" s="34">
        <v>7</v>
      </c>
      <c r="B36" s="35" t="s">
        <v>43</v>
      </c>
      <c r="C36" s="34">
        <v>1</v>
      </c>
      <c r="D36" s="36" t="s">
        <v>44</v>
      </c>
      <c r="E36" s="34">
        <v>15</v>
      </c>
      <c r="F36" s="36" t="s">
        <v>199</v>
      </c>
      <c r="G36" s="37">
        <v>357</v>
      </c>
      <c r="H36" s="36" t="s">
        <v>204</v>
      </c>
      <c r="I36" s="38">
        <v>39</v>
      </c>
      <c r="J36" s="39" t="s">
        <v>205</v>
      </c>
      <c r="K36" s="38">
        <v>840</v>
      </c>
      <c r="L36" s="39" t="s">
        <v>201</v>
      </c>
      <c r="M36" s="38">
        <v>2</v>
      </c>
      <c r="N36" s="39" t="s">
        <v>56</v>
      </c>
      <c r="O36" s="40">
        <v>8000</v>
      </c>
      <c r="P36" s="36" t="s">
        <v>63</v>
      </c>
      <c r="Q36" s="36" t="s">
        <v>206</v>
      </c>
      <c r="R36" s="39" t="s">
        <v>383</v>
      </c>
      <c r="S36" s="39" t="s">
        <v>384</v>
      </c>
      <c r="T36" s="35" t="s">
        <v>52</v>
      </c>
      <c r="U36" s="41">
        <v>1</v>
      </c>
      <c r="V36" s="42">
        <f t="shared" si="6"/>
        <v>0.55574999999999997</v>
      </c>
      <c r="W36" s="42">
        <f t="shared" si="7"/>
        <v>0.55574999999999997</v>
      </c>
      <c r="X36" s="42">
        <f t="shared" si="8"/>
        <v>0.52800000000000002</v>
      </c>
      <c r="Y36" s="42">
        <f t="shared" si="9"/>
        <v>0.52800000000000002</v>
      </c>
      <c r="Z36" s="38">
        <v>0</v>
      </c>
      <c r="AA36" s="40">
        <v>2000</v>
      </c>
      <c r="AB36" s="40">
        <v>2000</v>
      </c>
      <c r="AC36" s="40">
        <v>2000</v>
      </c>
      <c r="AD36" s="40">
        <v>2000</v>
      </c>
      <c r="AE36" s="40">
        <v>8000</v>
      </c>
      <c r="AF36" s="40">
        <v>2000</v>
      </c>
      <c r="AG36" s="40">
        <v>2000</v>
      </c>
      <c r="AH36" s="43">
        <v>446</v>
      </c>
      <c r="AI36" s="44">
        <v>0</v>
      </c>
      <c r="AJ36" s="40">
        <v>4446</v>
      </c>
      <c r="AK36" s="40">
        <v>2000</v>
      </c>
      <c r="AL36" s="43">
        <f>1700+524</f>
        <v>2224</v>
      </c>
      <c r="AM36" s="45">
        <v>0</v>
      </c>
      <c r="AN36" s="45">
        <v>0</v>
      </c>
      <c r="AO36" s="40">
        <v>4224</v>
      </c>
      <c r="AP36" s="46">
        <v>127265605</v>
      </c>
      <c r="AQ36" s="46">
        <v>202202016</v>
      </c>
      <c r="AR36" s="86">
        <v>95961143</v>
      </c>
      <c r="AS36" s="47">
        <v>0</v>
      </c>
      <c r="AT36" s="46" t="e">
        <f t="shared" ca="1" si="5"/>
        <v>#NAME?</v>
      </c>
      <c r="AU36" s="46">
        <v>0</v>
      </c>
      <c r="AV36" s="46">
        <v>0</v>
      </c>
      <c r="AW36" s="46">
        <v>38376686</v>
      </c>
      <c r="AX36" s="47">
        <v>0</v>
      </c>
      <c r="AY36" s="48" t="e">
        <f t="shared" ca="1" si="10"/>
        <v>#NAME?</v>
      </c>
      <c r="AZ36" s="49"/>
      <c r="BA36" s="49"/>
      <c r="BB36" s="49" t="s">
        <v>207</v>
      </c>
      <c r="BC36" s="51" t="s">
        <v>208</v>
      </c>
    </row>
    <row r="37" spans="1:57" s="52" customFormat="1" ht="37.5" customHeight="1">
      <c r="A37" s="34">
        <v>7</v>
      </c>
      <c r="B37" s="35" t="s">
        <v>43</v>
      </c>
      <c r="C37" s="34">
        <v>2</v>
      </c>
      <c r="D37" s="36" t="s">
        <v>209</v>
      </c>
      <c r="E37" s="34">
        <v>17</v>
      </c>
      <c r="F37" s="36" t="s">
        <v>210</v>
      </c>
      <c r="G37" s="37">
        <v>358</v>
      </c>
      <c r="H37" s="36" t="s">
        <v>211</v>
      </c>
      <c r="I37" s="38">
        <v>59</v>
      </c>
      <c r="J37" s="39" t="s">
        <v>212</v>
      </c>
      <c r="K37" s="38">
        <v>841</v>
      </c>
      <c r="L37" s="39" t="s">
        <v>213</v>
      </c>
      <c r="M37" s="38">
        <v>1</v>
      </c>
      <c r="N37" s="39" t="s">
        <v>214</v>
      </c>
      <c r="O37" s="40">
        <v>8000</v>
      </c>
      <c r="P37" s="36" t="s">
        <v>215</v>
      </c>
      <c r="Q37" s="36" t="s">
        <v>216</v>
      </c>
      <c r="R37" s="39" t="s">
        <v>385</v>
      </c>
      <c r="S37" s="39" t="s">
        <v>386</v>
      </c>
      <c r="T37" s="35" t="s">
        <v>52</v>
      </c>
      <c r="U37" s="41">
        <v>1</v>
      </c>
      <c r="V37" s="42">
        <f t="shared" si="6"/>
        <v>0.6875</v>
      </c>
      <c r="W37" s="42">
        <f t="shared" si="7"/>
        <v>0.6875</v>
      </c>
      <c r="X37" s="42">
        <f t="shared" si="8"/>
        <v>0.75</v>
      </c>
      <c r="Y37" s="42">
        <f t="shared" si="9"/>
        <v>0.75</v>
      </c>
      <c r="Z37" s="38">
        <v>0</v>
      </c>
      <c r="AA37" s="40">
        <v>2000</v>
      </c>
      <c r="AB37" s="40">
        <v>2000</v>
      </c>
      <c r="AC37" s="40">
        <v>2000</v>
      </c>
      <c r="AD37" s="40">
        <v>2000</v>
      </c>
      <c r="AE37" s="40">
        <v>8000</v>
      </c>
      <c r="AF37" s="40">
        <v>2500</v>
      </c>
      <c r="AG37" s="40">
        <v>0</v>
      </c>
      <c r="AH37" s="43">
        <v>3000</v>
      </c>
      <c r="AI37" s="44">
        <v>0</v>
      </c>
      <c r="AJ37" s="40">
        <v>5500</v>
      </c>
      <c r="AK37" s="40">
        <v>3000</v>
      </c>
      <c r="AL37" s="43">
        <v>0</v>
      </c>
      <c r="AM37" s="45">
        <v>3000</v>
      </c>
      <c r="AN37" s="45">
        <v>0</v>
      </c>
      <c r="AO37" s="40">
        <v>6000</v>
      </c>
      <c r="AP37" s="46">
        <v>300000000</v>
      </c>
      <c r="AQ37" s="46">
        <v>0</v>
      </c>
      <c r="AR37" s="46">
        <v>857259098</v>
      </c>
      <c r="AS37" s="47">
        <f>334697552+52953618</f>
        <v>387651170</v>
      </c>
      <c r="AT37" s="46" t="e">
        <f t="shared" ca="1" si="5"/>
        <v>#NAME?</v>
      </c>
      <c r="AU37" s="46">
        <v>0</v>
      </c>
      <c r="AV37" s="46">
        <v>0</v>
      </c>
      <c r="AW37" s="46">
        <v>311131468</v>
      </c>
      <c r="AX37" s="47">
        <v>0</v>
      </c>
      <c r="AY37" s="48" t="e">
        <f t="shared" ca="1" si="10"/>
        <v>#NAME?</v>
      </c>
      <c r="AZ37" s="49"/>
      <c r="BA37" s="49"/>
      <c r="BB37" s="49" t="s">
        <v>217</v>
      </c>
      <c r="BC37" s="51" t="s">
        <v>218</v>
      </c>
    </row>
    <row r="38" spans="1:57" s="52" customFormat="1" ht="37.5" customHeight="1">
      <c r="A38" s="34">
        <v>7</v>
      </c>
      <c r="B38" s="35" t="s">
        <v>43</v>
      </c>
      <c r="C38" s="34">
        <v>2</v>
      </c>
      <c r="D38" s="36" t="s">
        <v>209</v>
      </c>
      <c r="E38" s="34">
        <v>17</v>
      </c>
      <c r="F38" s="36" t="s">
        <v>210</v>
      </c>
      <c r="G38" s="37">
        <v>359</v>
      </c>
      <c r="H38" s="36" t="s">
        <v>219</v>
      </c>
      <c r="I38" s="38">
        <v>45</v>
      </c>
      <c r="J38" s="39" t="s">
        <v>220</v>
      </c>
      <c r="K38" s="38">
        <v>841</v>
      </c>
      <c r="L38" s="39" t="s">
        <v>213</v>
      </c>
      <c r="M38" s="38">
        <v>2</v>
      </c>
      <c r="N38" s="39" t="s">
        <v>221</v>
      </c>
      <c r="O38" s="40">
        <v>320000</v>
      </c>
      <c r="P38" s="36" t="s">
        <v>222</v>
      </c>
      <c r="Q38" s="36" t="s">
        <v>223</v>
      </c>
      <c r="R38" s="39" t="s">
        <v>385</v>
      </c>
      <c r="S38" s="39" t="s">
        <v>387</v>
      </c>
      <c r="T38" s="35" t="s">
        <v>52</v>
      </c>
      <c r="U38" s="41">
        <v>1</v>
      </c>
      <c r="V38" s="42">
        <f t="shared" si="6"/>
        <v>0.58703125</v>
      </c>
      <c r="W38" s="42">
        <f t="shared" si="7"/>
        <v>0.58703125</v>
      </c>
      <c r="X38" s="42">
        <f t="shared" si="8"/>
        <v>0.72962499999999997</v>
      </c>
      <c r="Y38" s="42">
        <f t="shared" si="9"/>
        <v>0.72962499999999997</v>
      </c>
      <c r="Z38" s="38">
        <v>0</v>
      </c>
      <c r="AA38" s="40">
        <v>80000</v>
      </c>
      <c r="AB38" s="40">
        <v>80000</v>
      </c>
      <c r="AC38" s="40">
        <v>80000</v>
      </c>
      <c r="AD38" s="40">
        <v>80000</v>
      </c>
      <c r="AE38" s="40">
        <v>320000</v>
      </c>
      <c r="AF38" s="40">
        <v>80000</v>
      </c>
      <c r="AG38" s="40">
        <v>90000</v>
      </c>
      <c r="AH38" s="43">
        <v>17850</v>
      </c>
      <c r="AI38" s="44">
        <v>0</v>
      </c>
      <c r="AJ38" s="40">
        <v>187850</v>
      </c>
      <c r="AK38" s="40">
        <v>96910</v>
      </c>
      <c r="AL38" s="43">
        <v>108000</v>
      </c>
      <c r="AM38" s="45">
        <f>17850+10720</f>
        <v>28570</v>
      </c>
      <c r="AN38" s="45">
        <v>0</v>
      </c>
      <c r="AO38" s="40">
        <v>233480</v>
      </c>
      <c r="AP38" s="46">
        <v>150000000</v>
      </c>
      <c r="AQ38" s="46">
        <v>2975629230</v>
      </c>
      <c r="AR38" s="86">
        <f>9000000+136232768+300984091+75646368</f>
        <v>521863227</v>
      </c>
      <c r="AS38" s="47">
        <v>0</v>
      </c>
      <c r="AT38" s="46" t="e">
        <f t="shared" ref="AT38:AT69" ca="1" si="11">SUMA(AP38:AS38)</f>
        <v>#NAME?</v>
      </c>
      <c r="AU38" s="46">
        <v>0</v>
      </c>
      <c r="AV38" s="46">
        <v>0</v>
      </c>
      <c r="AW38" s="46">
        <v>600000</v>
      </c>
      <c r="AX38" s="47">
        <v>0</v>
      </c>
      <c r="AY38" s="48" t="e">
        <f t="shared" ca="1" si="10"/>
        <v>#NAME?</v>
      </c>
      <c r="AZ38" s="49"/>
      <c r="BA38" s="49"/>
      <c r="BB38" s="49" t="s">
        <v>217</v>
      </c>
      <c r="BC38" s="51"/>
    </row>
    <row r="39" spans="1:57" s="52" customFormat="1" ht="37.5" customHeight="1">
      <c r="A39" s="34">
        <v>7</v>
      </c>
      <c r="B39" s="35" t="s">
        <v>43</v>
      </c>
      <c r="C39" s="34">
        <v>2</v>
      </c>
      <c r="D39" s="36" t="s">
        <v>209</v>
      </c>
      <c r="E39" s="34">
        <v>17</v>
      </c>
      <c r="F39" s="36" t="s">
        <v>210</v>
      </c>
      <c r="G39" s="37">
        <v>360</v>
      </c>
      <c r="H39" s="36" t="s">
        <v>224</v>
      </c>
      <c r="I39" s="38">
        <v>41</v>
      </c>
      <c r="J39" s="39" t="s">
        <v>225</v>
      </c>
      <c r="K39" s="38">
        <v>841</v>
      </c>
      <c r="L39" s="39" t="s">
        <v>213</v>
      </c>
      <c r="M39" s="38">
        <v>3</v>
      </c>
      <c r="N39" s="39" t="s">
        <v>56</v>
      </c>
      <c r="O39" s="40">
        <v>2000</v>
      </c>
      <c r="P39" s="36" t="s">
        <v>63</v>
      </c>
      <c r="Q39" s="36" t="s">
        <v>226</v>
      </c>
      <c r="R39" s="39" t="s">
        <v>385</v>
      </c>
      <c r="S39" s="39" t="s">
        <v>387</v>
      </c>
      <c r="T39" s="35" t="s">
        <v>52</v>
      </c>
      <c r="U39" s="41">
        <v>1</v>
      </c>
      <c r="V39" s="42">
        <f t="shared" si="6"/>
        <v>1</v>
      </c>
      <c r="W39" s="42">
        <f t="shared" si="7"/>
        <v>1</v>
      </c>
      <c r="X39" s="42">
        <f t="shared" si="8"/>
        <v>1.4</v>
      </c>
      <c r="Y39" s="42">
        <f t="shared" si="9"/>
        <v>1.4</v>
      </c>
      <c r="Z39" s="38">
        <v>0</v>
      </c>
      <c r="AA39" s="40">
        <v>500</v>
      </c>
      <c r="AB39" s="40">
        <v>500</v>
      </c>
      <c r="AC39" s="40">
        <v>500</v>
      </c>
      <c r="AD39" s="40">
        <v>500</v>
      </c>
      <c r="AE39" s="40">
        <v>2000</v>
      </c>
      <c r="AF39" s="40">
        <v>500</v>
      </c>
      <c r="AG39" s="40">
        <v>1500</v>
      </c>
      <c r="AH39" s="43">
        <v>0</v>
      </c>
      <c r="AI39" s="44">
        <v>0</v>
      </c>
      <c r="AJ39" s="40">
        <v>2000</v>
      </c>
      <c r="AK39" s="40">
        <f>400+200+500</f>
        <v>1100</v>
      </c>
      <c r="AL39" s="43">
        <v>1700</v>
      </c>
      <c r="AM39" s="45">
        <v>0</v>
      </c>
      <c r="AN39" s="45">
        <v>0</v>
      </c>
      <c r="AO39" s="40">
        <v>2800</v>
      </c>
      <c r="AP39" s="46">
        <v>300000000</v>
      </c>
      <c r="AQ39" s="46">
        <v>323370743</v>
      </c>
      <c r="AR39" s="46">
        <v>0</v>
      </c>
      <c r="AS39" s="47">
        <v>0</v>
      </c>
      <c r="AT39" s="46" t="e">
        <f t="shared" ca="1" si="11"/>
        <v>#NAME?</v>
      </c>
      <c r="AU39" s="46">
        <v>0</v>
      </c>
      <c r="AV39" s="46">
        <v>0</v>
      </c>
      <c r="AW39" s="46">
        <v>0</v>
      </c>
      <c r="AX39" s="47">
        <v>0</v>
      </c>
      <c r="AY39" s="48" t="e">
        <f t="shared" ca="1" si="10"/>
        <v>#NAME?</v>
      </c>
      <c r="AZ39" s="49"/>
      <c r="BA39" s="49"/>
      <c r="BB39" s="49" t="s">
        <v>217</v>
      </c>
      <c r="BC39" s="51"/>
    </row>
    <row r="40" spans="1:57" s="52" customFormat="1" ht="37.5" customHeight="1">
      <c r="A40" s="34">
        <v>7</v>
      </c>
      <c r="B40" s="35" t="s">
        <v>43</v>
      </c>
      <c r="C40" s="34">
        <v>2</v>
      </c>
      <c r="D40" s="36" t="s">
        <v>209</v>
      </c>
      <c r="E40" s="34">
        <v>17</v>
      </c>
      <c r="F40" s="36" t="s">
        <v>210</v>
      </c>
      <c r="G40" s="37">
        <v>361</v>
      </c>
      <c r="H40" s="36" t="s">
        <v>227</v>
      </c>
      <c r="I40" s="38">
        <v>41</v>
      </c>
      <c r="J40" s="39" t="s">
        <v>225</v>
      </c>
      <c r="K40" s="38">
        <v>841</v>
      </c>
      <c r="L40" s="39" t="s">
        <v>213</v>
      </c>
      <c r="M40" s="38">
        <v>4</v>
      </c>
      <c r="N40" s="39" t="s">
        <v>56</v>
      </c>
      <c r="O40" s="40">
        <v>80</v>
      </c>
      <c r="P40" s="36" t="s">
        <v>63</v>
      </c>
      <c r="Q40" s="36" t="s">
        <v>228</v>
      </c>
      <c r="R40" s="39" t="s">
        <v>385</v>
      </c>
      <c r="S40" s="39" t="s">
        <v>387</v>
      </c>
      <c r="T40" s="35" t="s">
        <v>52</v>
      </c>
      <c r="U40" s="41">
        <v>1</v>
      </c>
      <c r="V40" s="42">
        <f t="shared" si="6"/>
        <v>1.25</v>
      </c>
      <c r="W40" s="42">
        <f t="shared" si="7"/>
        <v>1.25</v>
      </c>
      <c r="X40" s="42">
        <f t="shared" si="8"/>
        <v>0.75</v>
      </c>
      <c r="Y40" s="42">
        <f t="shared" si="9"/>
        <v>0.75</v>
      </c>
      <c r="Z40" s="38">
        <v>0</v>
      </c>
      <c r="AA40" s="40">
        <v>20</v>
      </c>
      <c r="AB40" s="40">
        <v>20</v>
      </c>
      <c r="AC40" s="40">
        <v>20</v>
      </c>
      <c r="AD40" s="40">
        <v>20</v>
      </c>
      <c r="AE40" s="40">
        <v>80</v>
      </c>
      <c r="AF40" s="40">
        <v>20</v>
      </c>
      <c r="AG40" s="40">
        <v>20</v>
      </c>
      <c r="AH40" s="43">
        <v>20</v>
      </c>
      <c r="AI40" s="44">
        <v>40</v>
      </c>
      <c r="AJ40" s="40">
        <v>100</v>
      </c>
      <c r="AK40" s="40">
        <v>20</v>
      </c>
      <c r="AL40" s="43">
        <v>20</v>
      </c>
      <c r="AM40" s="45">
        <v>20</v>
      </c>
      <c r="AN40" s="45">
        <v>0</v>
      </c>
      <c r="AO40" s="40">
        <v>60</v>
      </c>
      <c r="AP40" s="46">
        <v>210000000</v>
      </c>
      <c r="AQ40" s="46">
        <v>289000027</v>
      </c>
      <c r="AR40" s="46">
        <v>420877675</v>
      </c>
      <c r="AS40" s="47">
        <v>650000000</v>
      </c>
      <c r="AT40" s="46" t="e">
        <f t="shared" ca="1" si="11"/>
        <v>#NAME?</v>
      </c>
      <c r="AU40" s="46">
        <v>0</v>
      </c>
      <c r="AV40" s="46">
        <v>139680005</v>
      </c>
      <c r="AW40" s="46">
        <v>205261285</v>
      </c>
      <c r="AX40" s="47">
        <v>0</v>
      </c>
      <c r="AY40" s="48" t="e">
        <f t="shared" ca="1" si="10"/>
        <v>#NAME?</v>
      </c>
      <c r="AZ40" s="49"/>
      <c r="BA40" s="49"/>
      <c r="BB40" s="49" t="s">
        <v>217</v>
      </c>
      <c r="BC40" s="51"/>
      <c r="BE40" s="52">
        <f>1000000000-221000000</f>
        <v>779000000</v>
      </c>
    </row>
    <row r="41" spans="1:57" s="52" customFormat="1" ht="37.5" customHeight="1">
      <c r="A41" s="34">
        <v>7</v>
      </c>
      <c r="B41" s="35" t="s">
        <v>43</v>
      </c>
      <c r="C41" s="34">
        <v>2</v>
      </c>
      <c r="D41" s="36" t="s">
        <v>209</v>
      </c>
      <c r="E41" s="34">
        <v>17</v>
      </c>
      <c r="F41" s="36" t="s">
        <v>210</v>
      </c>
      <c r="G41" s="37">
        <v>362</v>
      </c>
      <c r="H41" s="36" t="s">
        <v>229</v>
      </c>
      <c r="I41" s="38">
        <v>6</v>
      </c>
      <c r="J41" s="39" t="s">
        <v>230</v>
      </c>
      <c r="K41" s="38">
        <v>841</v>
      </c>
      <c r="L41" s="39" t="s">
        <v>213</v>
      </c>
      <c r="M41" s="38">
        <v>5</v>
      </c>
      <c r="N41" s="39" t="s">
        <v>231</v>
      </c>
      <c r="O41" s="40">
        <v>20000</v>
      </c>
      <c r="P41" s="36" t="s">
        <v>222</v>
      </c>
      <c r="Q41" s="36" t="s">
        <v>232</v>
      </c>
      <c r="R41" s="39" t="s">
        <v>365</v>
      </c>
      <c r="S41" s="39" t="s">
        <v>388</v>
      </c>
      <c r="T41" s="35" t="s">
        <v>52</v>
      </c>
      <c r="U41" s="41">
        <v>1</v>
      </c>
      <c r="V41" s="42">
        <f t="shared" si="6"/>
        <v>9.6</v>
      </c>
      <c r="W41" s="42">
        <f t="shared" si="7"/>
        <v>9.6</v>
      </c>
      <c r="X41" s="42">
        <f t="shared" si="8"/>
        <v>4</v>
      </c>
      <c r="Y41" s="42">
        <f t="shared" si="9"/>
        <v>4</v>
      </c>
      <c r="Z41" s="38">
        <v>0</v>
      </c>
      <c r="AA41" s="40">
        <v>5000</v>
      </c>
      <c r="AB41" s="40">
        <v>5000</v>
      </c>
      <c r="AC41" s="40">
        <v>5000</v>
      </c>
      <c r="AD41" s="40">
        <v>5000</v>
      </c>
      <c r="AE41" s="40">
        <v>20000</v>
      </c>
      <c r="AF41" s="40">
        <v>80000</v>
      </c>
      <c r="AG41" s="40">
        <v>0</v>
      </c>
      <c r="AH41" s="43">
        <v>0</v>
      </c>
      <c r="AI41" s="44">
        <v>112000</v>
      </c>
      <c r="AJ41" s="40">
        <v>192000</v>
      </c>
      <c r="AK41" s="40">
        <v>80000</v>
      </c>
      <c r="AL41" s="43">
        <v>0</v>
      </c>
      <c r="AM41" s="45">
        <v>0</v>
      </c>
      <c r="AN41" s="45">
        <v>0</v>
      </c>
      <c r="AO41" s="40">
        <v>80000</v>
      </c>
      <c r="AP41" s="46">
        <f>145000000+12000000</f>
        <v>157000000</v>
      </c>
      <c r="AQ41" s="46">
        <v>0</v>
      </c>
      <c r="AR41" s="46">
        <v>0</v>
      </c>
      <c r="AS41" s="47">
        <v>274693000</v>
      </c>
      <c r="AT41" s="46" t="e">
        <f t="shared" ca="1" si="11"/>
        <v>#NAME?</v>
      </c>
      <c r="AU41" s="46">
        <v>0</v>
      </c>
      <c r="AV41" s="46">
        <v>0</v>
      </c>
      <c r="AW41" s="46">
        <v>0</v>
      </c>
      <c r="AX41" s="47">
        <v>0</v>
      </c>
      <c r="AY41" s="48" t="e">
        <f t="shared" ca="1" si="10"/>
        <v>#NAME?</v>
      </c>
      <c r="AZ41" s="49"/>
      <c r="BA41" s="49"/>
      <c r="BB41" s="49" t="s">
        <v>65</v>
      </c>
      <c r="BC41" s="51" t="s">
        <v>233</v>
      </c>
    </row>
    <row r="42" spans="1:57" s="52" customFormat="1" ht="37.5" customHeight="1">
      <c r="A42" s="34">
        <v>7</v>
      </c>
      <c r="B42" s="35" t="s">
        <v>43</v>
      </c>
      <c r="C42" s="34">
        <v>2</v>
      </c>
      <c r="D42" s="36" t="s">
        <v>209</v>
      </c>
      <c r="E42" s="34">
        <v>19</v>
      </c>
      <c r="F42" s="36" t="s">
        <v>234</v>
      </c>
      <c r="G42" s="37">
        <v>363</v>
      </c>
      <c r="H42" s="36" t="s">
        <v>235</v>
      </c>
      <c r="I42" s="38">
        <v>46</v>
      </c>
      <c r="J42" s="39" t="s">
        <v>236</v>
      </c>
      <c r="K42" s="38">
        <v>843</v>
      </c>
      <c r="L42" s="39" t="s">
        <v>237</v>
      </c>
      <c r="M42" s="38">
        <v>1</v>
      </c>
      <c r="N42" s="39" t="s">
        <v>238</v>
      </c>
      <c r="O42" s="40">
        <v>46</v>
      </c>
      <c r="P42" s="36" t="s">
        <v>239</v>
      </c>
      <c r="Q42" s="36" t="s">
        <v>240</v>
      </c>
      <c r="R42" s="39" t="s">
        <v>389</v>
      </c>
      <c r="S42" s="39" t="s">
        <v>390</v>
      </c>
      <c r="T42" s="35" t="s">
        <v>52</v>
      </c>
      <c r="U42" s="41">
        <v>1</v>
      </c>
      <c r="V42" s="42">
        <f t="shared" si="6"/>
        <v>1.4238162391304348</v>
      </c>
      <c r="W42" s="42">
        <f t="shared" si="7"/>
        <v>1.4238162391304348</v>
      </c>
      <c r="X42" s="42">
        <f t="shared" si="8"/>
        <v>1.0452173913043479</v>
      </c>
      <c r="Y42" s="42">
        <f t="shared" si="9"/>
        <v>1.0452173913043479</v>
      </c>
      <c r="Z42" s="38">
        <v>25</v>
      </c>
      <c r="AA42" s="87" t="s">
        <v>241</v>
      </c>
      <c r="AB42" s="87" t="s">
        <v>241</v>
      </c>
      <c r="AC42" s="87" t="s">
        <v>241</v>
      </c>
      <c r="AD42" s="87" t="s">
        <v>241</v>
      </c>
      <c r="AE42" s="40">
        <v>0</v>
      </c>
      <c r="AF42" s="88">
        <f>12+1.09</f>
        <v>13.09</v>
      </c>
      <c r="AG42" s="88">
        <f>19.43+2.3</f>
        <v>21.73</v>
      </c>
      <c r="AH42" s="89">
        <v>13.5</v>
      </c>
      <c r="AI42" s="90">
        <v>17.175547000000002</v>
      </c>
      <c r="AJ42" s="91">
        <v>65.495547000000002</v>
      </c>
      <c r="AK42" s="88">
        <v>19.48</v>
      </c>
      <c r="AL42" s="92">
        <f>15.1</f>
        <v>15.1</v>
      </c>
      <c r="AM42" s="93">
        <v>13.5</v>
      </c>
      <c r="AN42" s="45">
        <v>0</v>
      </c>
      <c r="AO42" s="40">
        <v>48.08</v>
      </c>
      <c r="AP42" s="46">
        <v>19904729352</v>
      </c>
      <c r="AQ42" s="46">
        <v>24228862803</v>
      </c>
      <c r="AR42" s="46">
        <v>20380358352</v>
      </c>
      <c r="AS42" s="47">
        <f>18683889019+1868344720+3533987842.5</f>
        <v>24086221581.5</v>
      </c>
      <c r="AT42" s="46" t="e">
        <f t="shared" ca="1" si="11"/>
        <v>#NAME?</v>
      </c>
      <c r="AU42" s="94">
        <v>4726547954</v>
      </c>
      <c r="AV42" s="46">
        <v>11536569384</v>
      </c>
      <c r="AW42" s="46">
        <v>10577770567</v>
      </c>
      <c r="AX42" s="47">
        <f>3736777804+641991496.27873</f>
        <v>4378769300.2787304</v>
      </c>
      <c r="AY42" s="48" t="e">
        <f t="shared" ca="1" si="10"/>
        <v>#NAME?</v>
      </c>
      <c r="AZ42" s="49"/>
      <c r="BA42" s="49"/>
      <c r="BB42" s="49" t="s">
        <v>242</v>
      </c>
      <c r="BC42" s="51" t="s">
        <v>243</v>
      </c>
      <c r="BE42" s="52">
        <v>950000000</v>
      </c>
    </row>
    <row r="43" spans="1:57" s="52" customFormat="1" ht="37.5" customHeight="1">
      <c r="A43" s="34">
        <v>7</v>
      </c>
      <c r="B43" s="35" t="s">
        <v>43</v>
      </c>
      <c r="C43" s="34">
        <v>2</v>
      </c>
      <c r="D43" s="36" t="s">
        <v>209</v>
      </c>
      <c r="E43" s="34">
        <v>19</v>
      </c>
      <c r="F43" s="36" t="s">
        <v>234</v>
      </c>
      <c r="G43" s="37">
        <v>364</v>
      </c>
      <c r="H43" s="36" t="s">
        <v>244</v>
      </c>
      <c r="I43" s="38">
        <v>50</v>
      </c>
      <c r="J43" s="39" t="s">
        <v>245</v>
      </c>
      <c r="K43" s="38">
        <v>843</v>
      </c>
      <c r="L43" s="39" t="s">
        <v>246</v>
      </c>
      <c r="M43" s="38">
        <v>2</v>
      </c>
      <c r="N43" s="39" t="s">
        <v>247</v>
      </c>
      <c r="O43" s="40">
        <v>8400</v>
      </c>
      <c r="P43" s="36" t="s">
        <v>222</v>
      </c>
      <c r="Q43" s="36" t="s">
        <v>248</v>
      </c>
      <c r="R43" s="39" t="s">
        <v>389</v>
      </c>
      <c r="S43" s="39" t="s">
        <v>391</v>
      </c>
      <c r="T43" s="35" t="s">
        <v>52</v>
      </c>
      <c r="U43" s="41">
        <v>1</v>
      </c>
      <c r="V43" s="42">
        <f t="shared" si="6"/>
        <v>1.1195630952380953</v>
      </c>
      <c r="W43" s="42">
        <f t="shared" si="7"/>
        <v>1.1195630952380953</v>
      </c>
      <c r="X43" s="42">
        <f t="shared" si="8"/>
        <v>0</v>
      </c>
      <c r="Y43" s="42">
        <f t="shared" si="9"/>
        <v>0</v>
      </c>
      <c r="Z43" s="38">
        <v>0</v>
      </c>
      <c r="AA43" s="40">
        <v>2100</v>
      </c>
      <c r="AB43" s="40">
        <v>2100</v>
      </c>
      <c r="AC43" s="40">
        <v>2100</v>
      </c>
      <c r="AD43" s="40">
        <v>2100</v>
      </c>
      <c r="AE43" s="40">
        <v>8400</v>
      </c>
      <c r="AF43" s="40">
        <v>0</v>
      </c>
      <c r="AG43" s="40">
        <v>0</v>
      </c>
      <c r="AH43" s="43">
        <v>2800</v>
      </c>
      <c r="AI43" s="95">
        <v>6604.33</v>
      </c>
      <c r="AJ43" s="40">
        <v>9404.33</v>
      </c>
      <c r="AK43" s="40">
        <v>0</v>
      </c>
      <c r="AL43" s="43">
        <v>0</v>
      </c>
      <c r="AM43" s="45">
        <v>0</v>
      </c>
      <c r="AN43" s="45">
        <v>0</v>
      </c>
      <c r="AO43" s="40">
        <v>0</v>
      </c>
      <c r="AP43" s="46">
        <v>50000000</v>
      </c>
      <c r="AQ43" s="46">
        <v>89177197</v>
      </c>
      <c r="AR43" s="46">
        <v>1500000000</v>
      </c>
      <c r="AS43" s="47">
        <v>2755865256</v>
      </c>
      <c r="AT43" s="46" t="e">
        <f t="shared" ca="1" si="11"/>
        <v>#NAME?</v>
      </c>
      <c r="AU43" s="46">
        <v>0</v>
      </c>
      <c r="AV43" s="46">
        <v>0</v>
      </c>
      <c r="AW43" s="46">
        <v>0</v>
      </c>
      <c r="AX43" s="47">
        <v>500636147.63043898</v>
      </c>
      <c r="AY43" s="48" t="e">
        <f t="shared" ca="1" si="10"/>
        <v>#NAME?</v>
      </c>
      <c r="AZ43" s="49"/>
      <c r="BA43" s="49"/>
      <c r="BB43" s="49" t="s">
        <v>242</v>
      </c>
      <c r="BC43" s="51" t="s">
        <v>249</v>
      </c>
      <c r="BE43" s="52">
        <v>200000000</v>
      </c>
    </row>
    <row r="44" spans="1:57" s="52" customFormat="1" ht="37.5" customHeight="1">
      <c r="A44" s="34">
        <v>7</v>
      </c>
      <c r="B44" s="35" t="s">
        <v>43</v>
      </c>
      <c r="C44" s="34">
        <v>2</v>
      </c>
      <c r="D44" s="36" t="s">
        <v>209</v>
      </c>
      <c r="E44" s="34">
        <v>20</v>
      </c>
      <c r="F44" s="36" t="s">
        <v>250</v>
      </c>
      <c r="G44" s="37">
        <v>365</v>
      </c>
      <c r="H44" s="36" t="s">
        <v>251</v>
      </c>
      <c r="I44" s="38">
        <v>55</v>
      </c>
      <c r="J44" s="39" t="s">
        <v>252</v>
      </c>
      <c r="K44" s="38">
        <v>844</v>
      </c>
      <c r="L44" s="39" t="s">
        <v>253</v>
      </c>
      <c r="M44" s="38">
        <v>2</v>
      </c>
      <c r="N44" s="39" t="s">
        <v>254</v>
      </c>
      <c r="O44" s="40">
        <v>15000</v>
      </c>
      <c r="P44" s="36" t="s">
        <v>255</v>
      </c>
      <c r="Q44" s="36" t="s">
        <v>256</v>
      </c>
      <c r="R44" s="39" t="s">
        <v>373</v>
      </c>
      <c r="S44" s="39" t="s">
        <v>392</v>
      </c>
      <c r="T44" s="35" t="s">
        <v>85</v>
      </c>
      <c r="U44" s="41">
        <v>1</v>
      </c>
      <c r="V44" s="42">
        <f t="shared" si="6"/>
        <v>1</v>
      </c>
      <c r="W44" s="42">
        <f t="shared" si="7"/>
        <v>1</v>
      </c>
      <c r="X44" s="42">
        <f t="shared" si="8"/>
        <v>0.75</v>
      </c>
      <c r="Y44" s="42">
        <f t="shared" si="9"/>
        <v>0.75</v>
      </c>
      <c r="Z44" s="38">
        <v>0</v>
      </c>
      <c r="AA44" s="40">
        <v>15000</v>
      </c>
      <c r="AB44" s="40">
        <v>15000</v>
      </c>
      <c r="AC44" s="40">
        <v>15000</v>
      </c>
      <c r="AD44" s="40">
        <v>15000</v>
      </c>
      <c r="AE44" s="40">
        <v>15000</v>
      </c>
      <c r="AF44" s="40">
        <v>15000</v>
      </c>
      <c r="AG44" s="40">
        <v>15000</v>
      </c>
      <c r="AH44" s="43">
        <v>15000</v>
      </c>
      <c r="AI44" s="44">
        <v>15000</v>
      </c>
      <c r="AJ44" s="40">
        <v>15000</v>
      </c>
      <c r="AK44" s="40">
        <v>15000</v>
      </c>
      <c r="AL44" s="43">
        <f>14000+1000</f>
        <v>15000</v>
      </c>
      <c r="AM44" s="45">
        <f>2000+13000</f>
        <v>15000</v>
      </c>
      <c r="AN44" s="45">
        <v>0</v>
      </c>
      <c r="AO44" s="40">
        <v>11250</v>
      </c>
      <c r="AP44" s="46">
        <v>400000000</v>
      </c>
      <c r="AQ44" s="46">
        <v>527948000</v>
      </c>
      <c r="AR44" s="46">
        <v>346777635</v>
      </c>
      <c r="AS44" s="47">
        <v>525249598.25695902</v>
      </c>
      <c r="AT44" s="46" t="e">
        <f t="shared" ca="1" si="11"/>
        <v>#NAME?</v>
      </c>
      <c r="AU44" s="46">
        <v>0</v>
      </c>
      <c r="AV44" s="46">
        <v>0</v>
      </c>
      <c r="AW44" s="46">
        <v>6171429</v>
      </c>
      <c r="AX44" s="47">
        <v>0</v>
      </c>
      <c r="AY44" s="48" t="e">
        <f t="shared" ca="1" si="10"/>
        <v>#NAME?</v>
      </c>
      <c r="AZ44" s="49"/>
      <c r="BA44" s="49"/>
      <c r="BB44" s="49" t="s">
        <v>257</v>
      </c>
      <c r="BC44" s="51"/>
      <c r="BE44" s="52">
        <v>347000000</v>
      </c>
    </row>
    <row r="45" spans="1:57" s="52" customFormat="1" ht="37.5" customHeight="1">
      <c r="A45" s="34">
        <v>7</v>
      </c>
      <c r="B45" s="35" t="s">
        <v>43</v>
      </c>
      <c r="C45" s="34">
        <v>2</v>
      </c>
      <c r="D45" s="36" t="s">
        <v>209</v>
      </c>
      <c r="E45" s="34">
        <v>20</v>
      </c>
      <c r="F45" s="36" t="s">
        <v>250</v>
      </c>
      <c r="G45" s="37">
        <v>366</v>
      </c>
      <c r="H45" s="36" t="s">
        <v>258</v>
      </c>
      <c r="I45" s="38">
        <v>56</v>
      </c>
      <c r="J45" s="39" t="s">
        <v>259</v>
      </c>
      <c r="K45" s="38">
        <v>844</v>
      </c>
      <c r="L45" s="39" t="s">
        <v>253</v>
      </c>
      <c r="M45" s="38">
        <v>1</v>
      </c>
      <c r="N45" s="39" t="s">
        <v>260</v>
      </c>
      <c r="O45" s="40">
        <v>1</v>
      </c>
      <c r="P45" s="36" t="s">
        <v>261</v>
      </c>
      <c r="Q45" s="36" t="s">
        <v>262</v>
      </c>
      <c r="R45" s="39" t="s">
        <v>373</v>
      </c>
      <c r="S45" s="39" t="s">
        <v>392</v>
      </c>
      <c r="T45" s="35" t="s">
        <v>85</v>
      </c>
      <c r="U45" s="41">
        <v>1</v>
      </c>
      <c r="V45" s="42">
        <f t="shared" si="6"/>
        <v>1</v>
      </c>
      <c r="W45" s="42">
        <f t="shared" si="7"/>
        <v>1</v>
      </c>
      <c r="X45" s="42">
        <f t="shared" si="8"/>
        <v>0.75</v>
      </c>
      <c r="Y45" s="42">
        <f t="shared" si="9"/>
        <v>0.75</v>
      </c>
      <c r="Z45" s="38">
        <v>1</v>
      </c>
      <c r="AA45" s="40">
        <v>1</v>
      </c>
      <c r="AB45" s="40">
        <v>1</v>
      </c>
      <c r="AC45" s="40">
        <v>1</v>
      </c>
      <c r="AD45" s="40">
        <v>1</v>
      </c>
      <c r="AE45" s="40">
        <v>1</v>
      </c>
      <c r="AF45" s="40">
        <v>1</v>
      </c>
      <c r="AG45" s="40">
        <v>1</v>
      </c>
      <c r="AH45" s="43">
        <v>1</v>
      </c>
      <c r="AI45" s="44">
        <v>1</v>
      </c>
      <c r="AJ45" s="40">
        <v>1</v>
      </c>
      <c r="AK45" s="40">
        <v>1</v>
      </c>
      <c r="AL45" s="43">
        <v>1</v>
      </c>
      <c r="AM45" s="45">
        <v>1</v>
      </c>
      <c r="AN45" s="45">
        <v>0</v>
      </c>
      <c r="AO45" s="88">
        <v>0.75</v>
      </c>
      <c r="AP45" s="46">
        <v>299996849</v>
      </c>
      <c r="AQ45" s="46">
        <v>299898200</v>
      </c>
      <c r="AR45" s="46">
        <v>199981000</v>
      </c>
      <c r="AS45" s="47">
        <v>98380108.656962395</v>
      </c>
      <c r="AT45" s="46" t="e">
        <f t="shared" ca="1" si="11"/>
        <v>#NAME?</v>
      </c>
      <c r="AU45" s="46">
        <v>299996849</v>
      </c>
      <c r="AV45" s="46">
        <v>0</v>
      </c>
      <c r="AW45" s="46">
        <v>0</v>
      </c>
      <c r="AX45" s="47">
        <v>0</v>
      </c>
      <c r="AY45" s="48" t="e">
        <f t="shared" ca="1" si="10"/>
        <v>#NAME?</v>
      </c>
      <c r="AZ45" s="49"/>
      <c r="BA45" s="49"/>
      <c r="BB45" s="49" t="s">
        <v>257</v>
      </c>
      <c r="BC45" s="51"/>
      <c r="BE45" s="52">
        <f>+BE42-BE43-BE44</f>
        <v>403000000</v>
      </c>
    </row>
    <row r="46" spans="1:57" s="52" customFormat="1" ht="37.5" customHeight="1">
      <c r="A46" s="34">
        <v>7</v>
      </c>
      <c r="B46" s="35" t="s">
        <v>43</v>
      </c>
      <c r="C46" s="34">
        <v>2</v>
      </c>
      <c r="D46" s="36" t="s">
        <v>209</v>
      </c>
      <c r="E46" s="34">
        <v>20</v>
      </c>
      <c r="F46" s="36" t="s">
        <v>250</v>
      </c>
      <c r="G46" s="37">
        <v>367</v>
      </c>
      <c r="H46" s="36" t="s">
        <v>263</v>
      </c>
      <c r="I46" s="38">
        <v>54</v>
      </c>
      <c r="J46" s="39" t="s">
        <v>264</v>
      </c>
      <c r="K46" s="38">
        <v>844</v>
      </c>
      <c r="L46" s="39" t="s">
        <v>253</v>
      </c>
      <c r="M46" s="38">
        <v>3</v>
      </c>
      <c r="N46" s="39" t="s">
        <v>143</v>
      </c>
      <c r="O46" s="40">
        <v>100</v>
      </c>
      <c r="P46" s="36" t="s">
        <v>265</v>
      </c>
      <c r="Q46" s="36" t="s">
        <v>266</v>
      </c>
      <c r="R46" s="39" t="s">
        <v>373</v>
      </c>
      <c r="S46" s="39" t="s">
        <v>392</v>
      </c>
      <c r="T46" s="35" t="s">
        <v>85</v>
      </c>
      <c r="U46" s="41">
        <v>1</v>
      </c>
      <c r="V46" s="42">
        <f t="shared" si="6"/>
        <v>1</v>
      </c>
      <c r="W46" s="42">
        <f t="shared" si="7"/>
        <v>1</v>
      </c>
      <c r="X46" s="42">
        <f t="shared" si="8"/>
        <v>0.75</v>
      </c>
      <c r="Y46" s="42">
        <f t="shared" si="9"/>
        <v>0.75</v>
      </c>
      <c r="Z46" s="38">
        <v>0</v>
      </c>
      <c r="AA46" s="40">
        <v>100</v>
      </c>
      <c r="AB46" s="40">
        <v>100</v>
      </c>
      <c r="AC46" s="40">
        <v>100</v>
      </c>
      <c r="AD46" s="40">
        <v>100</v>
      </c>
      <c r="AE46" s="40">
        <v>100</v>
      </c>
      <c r="AF46" s="40">
        <v>100</v>
      </c>
      <c r="AG46" s="40">
        <v>100</v>
      </c>
      <c r="AH46" s="43">
        <v>100</v>
      </c>
      <c r="AI46" s="44">
        <v>100</v>
      </c>
      <c r="AJ46" s="40">
        <v>100</v>
      </c>
      <c r="AK46" s="40">
        <v>100</v>
      </c>
      <c r="AL46" s="43">
        <v>100</v>
      </c>
      <c r="AM46" s="45">
        <v>100</v>
      </c>
      <c r="AN46" s="45">
        <v>0</v>
      </c>
      <c r="AO46" s="40">
        <v>75</v>
      </c>
      <c r="AP46" s="46">
        <v>200000000</v>
      </c>
      <c r="AQ46" s="46">
        <v>672153800</v>
      </c>
      <c r="AR46" s="46">
        <v>403241365</v>
      </c>
      <c r="AS46" s="47">
        <v>67588261.086078897</v>
      </c>
      <c r="AT46" s="46" t="e">
        <f t="shared" ca="1" si="11"/>
        <v>#NAME?</v>
      </c>
      <c r="AU46" s="46">
        <v>0</v>
      </c>
      <c r="AV46" s="46">
        <v>0</v>
      </c>
      <c r="AW46" s="46">
        <v>0</v>
      </c>
      <c r="AX46" s="47">
        <v>0</v>
      </c>
      <c r="AY46" s="48" t="e">
        <f t="shared" ca="1" si="10"/>
        <v>#NAME?</v>
      </c>
      <c r="AZ46" s="49"/>
      <c r="BA46" s="49"/>
      <c r="BB46" s="49" t="s">
        <v>217</v>
      </c>
      <c r="BC46" s="51" t="s">
        <v>267</v>
      </c>
    </row>
    <row r="47" spans="1:57" s="52" customFormat="1" ht="37.5" customHeight="1">
      <c r="A47" s="34">
        <v>7</v>
      </c>
      <c r="B47" s="35" t="s">
        <v>43</v>
      </c>
      <c r="C47" s="34">
        <v>2</v>
      </c>
      <c r="D47" s="36" t="s">
        <v>209</v>
      </c>
      <c r="E47" s="34">
        <v>21</v>
      </c>
      <c r="F47" s="36" t="s">
        <v>268</v>
      </c>
      <c r="G47" s="37">
        <v>368</v>
      </c>
      <c r="H47" s="36" t="s">
        <v>269</v>
      </c>
      <c r="I47" s="38">
        <v>57</v>
      </c>
      <c r="J47" s="39" t="s">
        <v>270</v>
      </c>
      <c r="K47" s="38">
        <v>845</v>
      </c>
      <c r="L47" s="39" t="s">
        <v>271</v>
      </c>
      <c r="M47" s="38">
        <v>1</v>
      </c>
      <c r="N47" s="39" t="s">
        <v>56</v>
      </c>
      <c r="O47" s="40">
        <v>400</v>
      </c>
      <c r="P47" s="36" t="s">
        <v>63</v>
      </c>
      <c r="Q47" s="36" t="s">
        <v>272</v>
      </c>
      <c r="R47" s="39" t="s">
        <v>385</v>
      </c>
      <c r="S47" s="39" t="s">
        <v>393</v>
      </c>
      <c r="T47" s="35" t="s">
        <v>52</v>
      </c>
      <c r="U47" s="41">
        <v>1</v>
      </c>
      <c r="V47" s="42">
        <f t="shared" si="6"/>
        <v>0.5</v>
      </c>
      <c r="W47" s="42">
        <f t="shared" si="7"/>
        <v>0.5</v>
      </c>
      <c r="X47" s="42">
        <f t="shared" si="8"/>
        <v>0.5</v>
      </c>
      <c r="Y47" s="42">
        <f t="shared" si="9"/>
        <v>0.5</v>
      </c>
      <c r="Z47" s="38">
        <v>53</v>
      </c>
      <c r="AA47" s="40">
        <v>100</v>
      </c>
      <c r="AB47" s="40">
        <v>100</v>
      </c>
      <c r="AC47" s="40">
        <v>100</v>
      </c>
      <c r="AD47" s="40">
        <v>100</v>
      </c>
      <c r="AE47" s="40">
        <v>400</v>
      </c>
      <c r="AF47" s="40">
        <v>100</v>
      </c>
      <c r="AG47" s="40">
        <v>100</v>
      </c>
      <c r="AH47" s="43">
        <v>0</v>
      </c>
      <c r="AI47" s="44">
        <v>0</v>
      </c>
      <c r="AJ47" s="40">
        <v>200</v>
      </c>
      <c r="AK47" s="40">
        <v>100</v>
      </c>
      <c r="AL47" s="43">
        <v>100</v>
      </c>
      <c r="AM47" s="45">
        <v>0</v>
      </c>
      <c r="AN47" s="45">
        <v>0</v>
      </c>
      <c r="AO47" s="40">
        <v>200</v>
      </c>
      <c r="AP47" s="46">
        <f>40000000+10000000</f>
        <v>50000000</v>
      </c>
      <c r="AQ47" s="46">
        <v>86042000</v>
      </c>
      <c r="AR47" s="46">
        <v>0</v>
      </c>
      <c r="AS47" s="47">
        <v>0</v>
      </c>
      <c r="AT47" s="46" t="e">
        <f t="shared" ca="1" si="11"/>
        <v>#NAME?</v>
      </c>
      <c r="AU47" s="46">
        <v>19800000</v>
      </c>
      <c r="AV47" s="46">
        <v>3800000</v>
      </c>
      <c r="AW47" s="46">
        <v>0</v>
      </c>
      <c r="AX47" s="47">
        <v>0</v>
      </c>
      <c r="AY47" s="48" t="e">
        <f t="shared" ca="1" si="10"/>
        <v>#NAME?</v>
      </c>
      <c r="AZ47" s="49"/>
      <c r="BA47" s="49"/>
      <c r="BB47" s="49" t="s">
        <v>65</v>
      </c>
      <c r="BC47" s="51" t="s">
        <v>273</v>
      </c>
    </row>
    <row r="48" spans="1:57" s="52" customFormat="1" ht="37.5" customHeight="1">
      <c r="A48" s="34">
        <v>7</v>
      </c>
      <c r="B48" s="35" t="s">
        <v>43</v>
      </c>
      <c r="C48" s="34">
        <v>2</v>
      </c>
      <c r="D48" s="36" t="s">
        <v>209</v>
      </c>
      <c r="E48" s="34">
        <v>21</v>
      </c>
      <c r="F48" s="36" t="s">
        <v>268</v>
      </c>
      <c r="G48" s="37">
        <v>369</v>
      </c>
      <c r="H48" s="36" t="s">
        <v>274</v>
      </c>
      <c r="I48" s="38">
        <v>58</v>
      </c>
      <c r="J48" s="39" t="s">
        <v>275</v>
      </c>
      <c r="K48" s="38">
        <v>845</v>
      </c>
      <c r="L48" s="39" t="s">
        <v>271</v>
      </c>
      <c r="M48" s="38">
        <v>2</v>
      </c>
      <c r="N48" s="39" t="s">
        <v>115</v>
      </c>
      <c r="O48" s="40">
        <v>4</v>
      </c>
      <c r="P48" s="36" t="s">
        <v>116</v>
      </c>
      <c r="Q48" s="36" t="s">
        <v>276</v>
      </c>
      <c r="R48" s="39" t="s">
        <v>385</v>
      </c>
      <c r="S48" s="39" t="s">
        <v>393</v>
      </c>
      <c r="T48" s="35" t="s">
        <v>52</v>
      </c>
      <c r="U48" s="41">
        <v>1</v>
      </c>
      <c r="V48" s="42">
        <f t="shared" si="6"/>
        <v>7</v>
      </c>
      <c r="W48" s="42">
        <f t="shared" si="7"/>
        <v>7</v>
      </c>
      <c r="X48" s="42">
        <f t="shared" si="8"/>
        <v>3.75</v>
      </c>
      <c r="Y48" s="42">
        <f t="shared" si="9"/>
        <v>3.75</v>
      </c>
      <c r="Z48" s="38">
        <v>4</v>
      </c>
      <c r="AA48" s="40">
        <v>1</v>
      </c>
      <c r="AB48" s="40">
        <v>1</v>
      </c>
      <c r="AC48" s="40">
        <v>1</v>
      </c>
      <c r="AD48" s="40">
        <v>1</v>
      </c>
      <c r="AE48" s="40">
        <v>4</v>
      </c>
      <c r="AF48" s="40">
        <v>1</v>
      </c>
      <c r="AG48" s="40">
        <f>13+1</f>
        <v>14</v>
      </c>
      <c r="AH48" s="43">
        <v>0</v>
      </c>
      <c r="AI48" s="44">
        <v>13</v>
      </c>
      <c r="AJ48" s="40">
        <v>28</v>
      </c>
      <c r="AK48" s="40">
        <v>1</v>
      </c>
      <c r="AL48" s="43">
        <f>13+1</f>
        <v>14</v>
      </c>
      <c r="AM48" s="45">
        <v>0</v>
      </c>
      <c r="AN48" s="45">
        <v>0</v>
      </c>
      <c r="AO48" s="40">
        <v>15</v>
      </c>
      <c r="AP48" s="46">
        <v>200000000</v>
      </c>
      <c r="AQ48" s="46">
        <v>471618011</v>
      </c>
      <c r="AR48" s="46">
        <v>0</v>
      </c>
      <c r="AS48" s="47">
        <f>190000000+11000000</f>
        <v>201000000</v>
      </c>
      <c r="AT48" s="46" t="e">
        <f t="shared" ca="1" si="11"/>
        <v>#NAME?</v>
      </c>
      <c r="AU48" s="46">
        <v>80000000</v>
      </c>
      <c r="AV48" s="46">
        <v>110253350</v>
      </c>
      <c r="AW48" s="46">
        <v>0</v>
      </c>
      <c r="AX48" s="47">
        <v>0</v>
      </c>
      <c r="AY48" s="48" t="e">
        <f t="shared" ca="1" si="10"/>
        <v>#NAME?</v>
      </c>
      <c r="AZ48" s="49"/>
      <c r="BA48" s="49"/>
      <c r="BB48" s="49" t="s">
        <v>65</v>
      </c>
      <c r="BC48" s="51" t="s">
        <v>277</v>
      </c>
    </row>
    <row r="49" spans="1:55" s="52" customFormat="1" ht="37.5" customHeight="1">
      <c r="A49" s="34">
        <v>7</v>
      </c>
      <c r="B49" s="35" t="s">
        <v>43</v>
      </c>
      <c r="C49" s="34">
        <v>2</v>
      </c>
      <c r="D49" s="36" t="s">
        <v>209</v>
      </c>
      <c r="E49" s="34">
        <v>21</v>
      </c>
      <c r="F49" s="36" t="s">
        <v>268</v>
      </c>
      <c r="G49" s="37">
        <v>370</v>
      </c>
      <c r="H49" s="36" t="s">
        <v>278</v>
      </c>
      <c r="I49" s="38">
        <v>57</v>
      </c>
      <c r="J49" s="39" t="s">
        <v>270</v>
      </c>
      <c r="K49" s="38">
        <v>845</v>
      </c>
      <c r="L49" s="39" t="s">
        <v>271</v>
      </c>
      <c r="M49" s="38">
        <v>3</v>
      </c>
      <c r="N49" s="39" t="s">
        <v>56</v>
      </c>
      <c r="O49" s="40">
        <v>4000</v>
      </c>
      <c r="P49" s="36" t="s">
        <v>63</v>
      </c>
      <c r="Q49" s="36" t="s">
        <v>279</v>
      </c>
      <c r="R49" s="39" t="s">
        <v>385</v>
      </c>
      <c r="S49" s="39" t="s">
        <v>393</v>
      </c>
      <c r="T49" s="35" t="s">
        <v>52</v>
      </c>
      <c r="U49" s="41">
        <v>1</v>
      </c>
      <c r="V49" s="42">
        <f t="shared" si="6"/>
        <v>16</v>
      </c>
      <c r="W49" s="42">
        <f t="shared" si="7"/>
        <v>16</v>
      </c>
      <c r="X49" s="42">
        <f t="shared" si="8"/>
        <v>11.25</v>
      </c>
      <c r="Y49" s="42">
        <f t="shared" si="9"/>
        <v>11.25</v>
      </c>
      <c r="Z49" s="38">
        <v>275</v>
      </c>
      <c r="AA49" s="40">
        <v>1000</v>
      </c>
      <c r="AB49" s="40">
        <v>1000</v>
      </c>
      <c r="AC49" s="40">
        <v>1000</v>
      </c>
      <c r="AD49" s="40">
        <v>1000</v>
      </c>
      <c r="AE49" s="40">
        <v>4000</v>
      </c>
      <c r="AF49" s="40">
        <v>30000</v>
      </c>
      <c r="AG49" s="40">
        <v>20000</v>
      </c>
      <c r="AH49" s="43">
        <v>0</v>
      </c>
      <c r="AI49" s="44">
        <v>14000</v>
      </c>
      <c r="AJ49" s="40">
        <v>64000</v>
      </c>
      <c r="AK49" s="40">
        <v>16000</v>
      </c>
      <c r="AL49" s="43">
        <f>15000+9000+5000</f>
        <v>29000</v>
      </c>
      <c r="AM49" s="45">
        <v>0</v>
      </c>
      <c r="AN49" s="45">
        <v>0</v>
      </c>
      <c r="AO49" s="40">
        <v>45000</v>
      </c>
      <c r="AP49" s="46">
        <v>150000000</v>
      </c>
      <c r="AQ49" s="46">
        <v>156358000</v>
      </c>
      <c r="AR49" s="46">
        <v>0</v>
      </c>
      <c r="AS49" s="47">
        <v>578966320</v>
      </c>
      <c r="AT49" s="46" t="e">
        <f t="shared" ca="1" si="11"/>
        <v>#NAME?</v>
      </c>
      <c r="AU49" s="46">
        <v>56400000</v>
      </c>
      <c r="AV49" s="46">
        <v>60001650</v>
      </c>
      <c r="AW49" s="46">
        <v>0</v>
      </c>
      <c r="AX49" s="47">
        <v>0</v>
      </c>
      <c r="AY49" s="48" t="e">
        <f t="shared" ca="1" si="10"/>
        <v>#NAME?</v>
      </c>
      <c r="AZ49" s="49"/>
      <c r="BA49" s="49"/>
      <c r="BB49" s="49" t="s">
        <v>65</v>
      </c>
      <c r="BC49" s="51" t="s">
        <v>280</v>
      </c>
    </row>
    <row r="50" spans="1:55" s="52" customFormat="1" ht="37.5" customHeight="1">
      <c r="A50" s="34">
        <v>7</v>
      </c>
      <c r="B50" s="35" t="s">
        <v>43</v>
      </c>
      <c r="C50" s="34">
        <v>2</v>
      </c>
      <c r="D50" s="36" t="s">
        <v>209</v>
      </c>
      <c r="E50" s="34">
        <v>22</v>
      </c>
      <c r="F50" s="36" t="s">
        <v>281</v>
      </c>
      <c r="G50" s="37">
        <v>371</v>
      </c>
      <c r="H50" s="36" t="s">
        <v>282</v>
      </c>
      <c r="I50" s="38">
        <v>60</v>
      </c>
      <c r="J50" s="39" t="s">
        <v>283</v>
      </c>
      <c r="K50" s="38">
        <v>846</v>
      </c>
      <c r="L50" s="39" t="s">
        <v>284</v>
      </c>
      <c r="M50" s="38">
        <v>1</v>
      </c>
      <c r="N50" s="39" t="s">
        <v>254</v>
      </c>
      <c r="O50" s="40">
        <v>2000</v>
      </c>
      <c r="P50" s="36" t="s">
        <v>63</v>
      </c>
      <c r="Q50" s="36" t="s">
        <v>285</v>
      </c>
      <c r="R50" s="39" t="s">
        <v>385</v>
      </c>
      <c r="S50" s="39" t="s">
        <v>387</v>
      </c>
      <c r="T50" s="35" t="s">
        <v>52</v>
      </c>
      <c r="U50" s="41">
        <v>1</v>
      </c>
      <c r="V50" s="42">
        <f t="shared" si="6"/>
        <v>2.15</v>
      </c>
      <c r="W50" s="42">
        <f t="shared" si="7"/>
        <v>2.15</v>
      </c>
      <c r="X50" s="42">
        <f t="shared" si="8"/>
        <v>3.55</v>
      </c>
      <c r="Y50" s="42">
        <f t="shared" si="9"/>
        <v>3.55</v>
      </c>
      <c r="Z50" s="38">
        <v>0</v>
      </c>
      <c r="AA50" s="40">
        <v>500</v>
      </c>
      <c r="AB50" s="40">
        <v>750</v>
      </c>
      <c r="AC50" s="40">
        <v>750</v>
      </c>
      <c r="AD50" s="40">
        <v>0</v>
      </c>
      <c r="AE50" s="40">
        <v>2000</v>
      </c>
      <c r="AF50" s="40">
        <v>2300</v>
      </c>
      <c r="AG50" s="40">
        <v>2000</v>
      </c>
      <c r="AH50" s="43">
        <v>0</v>
      </c>
      <c r="AI50" s="44">
        <v>0</v>
      </c>
      <c r="AJ50" s="40">
        <v>4300</v>
      </c>
      <c r="AK50" s="40">
        <v>2300</v>
      </c>
      <c r="AL50" s="43">
        <v>4800</v>
      </c>
      <c r="AM50" s="45">
        <v>0</v>
      </c>
      <c r="AN50" s="45">
        <v>0</v>
      </c>
      <c r="AO50" s="40">
        <v>7100</v>
      </c>
      <c r="AP50" s="46">
        <f>183628000+12000000</f>
        <v>195628000</v>
      </c>
      <c r="AQ50" s="46">
        <v>304950000</v>
      </c>
      <c r="AR50" s="46">
        <v>0</v>
      </c>
      <c r="AS50" s="47">
        <v>0</v>
      </c>
      <c r="AT50" s="46" t="e">
        <f t="shared" ca="1" si="11"/>
        <v>#NAME?</v>
      </c>
      <c r="AU50" s="46">
        <v>0</v>
      </c>
      <c r="AV50" s="46">
        <v>85632600</v>
      </c>
      <c r="AW50" s="46">
        <v>0</v>
      </c>
      <c r="AX50" s="47">
        <v>0</v>
      </c>
      <c r="AY50" s="48" t="e">
        <f t="shared" ca="1" si="10"/>
        <v>#NAME?</v>
      </c>
      <c r="AZ50" s="49"/>
      <c r="BA50" s="49"/>
      <c r="BB50" s="49" t="s">
        <v>65</v>
      </c>
      <c r="BC50" s="51" t="s">
        <v>286</v>
      </c>
    </row>
    <row r="51" spans="1:55" s="52" customFormat="1" ht="37.5" customHeight="1">
      <c r="A51" s="34">
        <v>7</v>
      </c>
      <c r="B51" s="35" t="s">
        <v>43</v>
      </c>
      <c r="C51" s="34">
        <v>2</v>
      </c>
      <c r="D51" s="36" t="s">
        <v>209</v>
      </c>
      <c r="E51" s="34">
        <v>22</v>
      </c>
      <c r="F51" s="36" t="s">
        <v>281</v>
      </c>
      <c r="G51" s="37">
        <v>372</v>
      </c>
      <c r="H51" s="36" t="s">
        <v>287</v>
      </c>
      <c r="I51" s="38">
        <v>43</v>
      </c>
      <c r="J51" s="39" t="s">
        <v>288</v>
      </c>
      <c r="K51" s="38">
        <v>846</v>
      </c>
      <c r="L51" s="39" t="s">
        <v>284</v>
      </c>
      <c r="M51" s="38">
        <v>2</v>
      </c>
      <c r="N51" s="39" t="s">
        <v>254</v>
      </c>
      <c r="O51" s="40">
        <v>1000</v>
      </c>
      <c r="P51" s="36" t="s">
        <v>63</v>
      </c>
      <c r="Q51" s="36" t="s">
        <v>289</v>
      </c>
      <c r="R51" s="39" t="s">
        <v>385</v>
      </c>
      <c r="S51" s="39" t="s">
        <v>387</v>
      </c>
      <c r="T51" s="35" t="s">
        <v>52</v>
      </c>
      <c r="U51" s="41">
        <v>1</v>
      </c>
      <c r="V51" s="42">
        <f t="shared" si="6"/>
        <v>0.8</v>
      </c>
      <c r="W51" s="42">
        <f t="shared" si="7"/>
        <v>0.8</v>
      </c>
      <c r="X51" s="42">
        <f t="shared" si="8"/>
        <v>0.8</v>
      </c>
      <c r="Y51" s="42">
        <f t="shared" si="9"/>
        <v>0.8</v>
      </c>
      <c r="Z51" s="38">
        <v>0</v>
      </c>
      <c r="AA51" s="40">
        <v>250</v>
      </c>
      <c r="AB51" s="40">
        <v>375</v>
      </c>
      <c r="AC51" s="40">
        <v>375</v>
      </c>
      <c r="AD51" s="40">
        <v>0</v>
      </c>
      <c r="AE51" s="40">
        <v>1000</v>
      </c>
      <c r="AF51" s="40">
        <v>300</v>
      </c>
      <c r="AG51" s="40">
        <v>200</v>
      </c>
      <c r="AH51" s="43">
        <v>300</v>
      </c>
      <c r="AI51" s="44">
        <v>0</v>
      </c>
      <c r="AJ51" s="40">
        <v>800</v>
      </c>
      <c r="AK51" s="40">
        <v>300</v>
      </c>
      <c r="AL51" s="43">
        <v>200</v>
      </c>
      <c r="AM51" s="45">
        <v>300</v>
      </c>
      <c r="AN51" s="45">
        <v>0</v>
      </c>
      <c r="AO51" s="40">
        <v>800</v>
      </c>
      <c r="AP51" s="46">
        <v>190100000</v>
      </c>
      <c r="AQ51" s="46">
        <v>95050000</v>
      </c>
      <c r="AR51" s="46">
        <v>187718490</v>
      </c>
      <c r="AS51" s="47">
        <v>0</v>
      </c>
      <c r="AT51" s="46" t="e">
        <f t="shared" ca="1" si="11"/>
        <v>#NAME?</v>
      </c>
      <c r="AU51" s="46">
        <v>0</v>
      </c>
      <c r="AV51" s="46">
        <v>86145000</v>
      </c>
      <c r="AW51" s="46">
        <v>109031094</v>
      </c>
      <c r="AX51" s="47">
        <v>0</v>
      </c>
      <c r="AY51" s="48" t="e">
        <f t="shared" ca="1" si="10"/>
        <v>#NAME?</v>
      </c>
      <c r="AZ51" s="49"/>
      <c r="BA51" s="49"/>
      <c r="BB51" s="49" t="s">
        <v>65</v>
      </c>
      <c r="BC51" s="51"/>
    </row>
    <row r="52" spans="1:55" s="52" customFormat="1" ht="37.5" customHeight="1">
      <c r="A52" s="34">
        <v>7</v>
      </c>
      <c r="B52" s="35" t="s">
        <v>43</v>
      </c>
      <c r="C52" s="34">
        <v>3</v>
      </c>
      <c r="D52" s="36" t="s">
        <v>290</v>
      </c>
      <c r="E52" s="34">
        <v>24</v>
      </c>
      <c r="F52" s="36" t="s">
        <v>291</v>
      </c>
      <c r="G52" s="37">
        <v>373</v>
      </c>
      <c r="H52" s="36" t="s">
        <v>292</v>
      </c>
      <c r="I52" s="38">
        <v>61</v>
      </c>
      <c r="J52" s="39" t="s">
        <v>293</v>
      </c>
      <c r="K52" s="38">
        <v>848</v>
      </c>
      <c r="L52" s="39" t="s">
        <v>294</v>
      </c>
      <c r="M52" s="38">
        <v>3</v>
      </c>
      <c r="N52" s="39" t="s">
        <v>56</v>
      </c>
      <c r="O52" s="40">
        <v>6000</v>
      </c>
      <c r="P52" s="36" t="s">
        <v>63</v>
      </c>
      <c r="Q52" s="36" t="s">
        <v>295</v>
      </c>
      <c r="R52" s="39" t="s">
        <v>373</v>
      </c>
      <c r="S52" s="39" t="s">
        <v>372</v>
      </c>
      <c r="T52" s="96" t="s">
        <v>52</v>
      </c>
      <c r="U52" s="41">
        <v>1</v>
      </c>
      <c r="V52" s="42">
        <f t="shared" si="6"/>
        <v>1.0088333333333332</v>
      </c>
      <c r="W52" s="42">
        <f t="shared" si="7"/>
        <v>1.0088333333333332</v>
      </c>
      <c r="X52" s="42">
        <f t="shared" si="8"/>
        <v>1.0631666666666666</v>
      </c>
      <c r="Y52" s="42">
        <f t="shared" si="9"/>
        <v>1.0631666666666666</v>
      </c>
      <c r="Z52" s="38">
        <v>0</v>
      </c>
      <c r="AA52" s="40">
        <v>1500</v>
      </c>
      <c r="AB52" s="40">
        <v>1500</v>
      </c>
      <c r="AC52" s="40">
        <v>1500</v>
      </c>
      <c r="AD52" s="40">
        <v>1500</v>
      </c>
      <c r="AE52" s="40">
        <v>6000</v>
      </c>
      <c r="AF52" s="40">
        <f>100+1200+1850+150+1330</f>
        <v>4630</v>
      </c>
      <c r="AG52" s="40">
        <v>1167</v>
      </c>
      <c r="AH52" s="43">
        <v>256</v>
      </c>
      <c r="AI52" s="44">
        <v>0</v>
      </c>
      <c r="AJ52" s="40">
        <v>6053</v>
      </c>
      <c r="AK52" s="40">
        <v>4630</v>
      </c>
      <c r="AL52" s="43">
        <v>1493</v>
      </c>
      <c r="AM52" s="45">
        <v>256</v>
      </c>
      <c r="AN52" s="45">
        <v>0</v>
      </c>
      <c r="AO52" s="40">
        <v>6379</v>
      </c>
      <c r="AP52" s="46">
        <v>50000000</v>
      </c>
      <c r="AQ52" s="46">
        <v>155000000</v>
      </c>
      <c r="AR52" s="46">
        <v>75000000</v>
      </c>
      <c r="AS52" s="47">
        <v>0</v>
      </c>
      <c r="AT52" s="46" t="e">
        <f t="shared" ca="1" si="11"/>
        <v>#NAME?</v>
      </c>
      <c r="AU52" s="46">
        <v>44378670</v>
      </c>
      <c r="AV52" s="46">
        <v>94379852</v>
      </c>
      <c r="AW52" s="46">
        <v>0</v>
      </c>
      <c r="AX52" s="47">
        <v>0</v>
      </c>
      <c r="AY52" s="48" t="e">
        <f t="shared" ca="1" si="10"/>
        <v>#NAME?</v>
      </c>
      <c r="AZ52" s="49"/>
      <c r="BA52" s="49"/>
      <c r="BB52" s="49" t="s">
        <v>65</v>
      </c>
      <c r="BC52" s="51" t="s">
        <v>296</v>
      </c>
    </row>
    <row r="53" spans="1:55" s="52" customFormat="1" ht="37.5" customHeight="1">
      <c r="A53" s="34">
        <v>7</v>
      </c>
      <c r="B53" s="35" t="s">
        <v>43</v>
      </c>
      <c r="C53" s="34">
        <v>3</v>
      </c>
      <c r="D53" s="36" t="s">
        <v>290</v>
      </c>
      <c r="E53" s="34">
        <v>24</v>
      </c>
      <c r="F53" s="36" t="s">
        <v>291</v>
      </c>
      <c r="G53" s="37">
        <v>374</v>
      </c>
      <c r="H53" s="36" t="s">
        <v>297</v>
      </c>
      <c r="I53" s="38">
        <v>71</v>
      </c>
      <c r="J53" s="39" t="s">
        <v>298</v>
      </c>
      <c r="K53" s="38">
        <v>848</v>
      </c>
      <c r="L53" s="39" t="s">
        <v>294</v>
      </c>
      <c r="M53" s="38">
        <v>4</v>
      </c>
      <c r="N53" s="39" t="s">
        <v>56</v>
      </c>
      <c r="O53" s="40">
        <v>600</v>
      </c>
      <c r="P53" s="36" t="s">
        <v>63</v>
      </c>
      <c r="Q53" s="36" t="s">
        <v>299</v>
      </c>
      <c r="R53" s="39" t="s">
        <v>373</v>
      </c>
      <c r="S53" s="39" t="s">
        <v>394</v>
      </c>
      <c r="T53" s="35" t="s">
        <v>52</v>
      </c>
      <c r="U53" s="41">
        <v>1</v>
      </c>
      <c r="V53" s="42">
        <f t="shared" si="6"/>
        <v>1.1833333333333333</v>
      </c>
      <c r="W53" s="42">
        <f t="shared" si="7"/>
        <v>1.1833333333333333</v>
      </c>
      <c r="X53" s="42">
        <f t="shared" si="8"/>
        <v>0.87666666666666671</v>
      </c>
      <c r="Y53" s="42">
        <f t="shared" si="9"/>
        <v>0.87666666666666671</v>
      </c>
      <c r="Z53" s="38">
        <v>0</v>
      </c>
      <c r="AA53" s="40">
        <v>150</v>
      </c>
      <c r="AB53" s="40">
        <v>150</v>
      </c>
      <c r="AC53" s="40">
        <v>150</v>
      </c>
      <c r="AD53" s="40">
        <v>150</v>
      </c>
      <c r="AE53" s="40">
        <v>600</v>
      </c>
      <c r="AF53" s="40">
        <v>390</v>
      </c>
      <c r="AG53" s="40">
        <v>320</v>
      </c>
      <c r="AH53" s="43">
        <v>0</v>
      </c>
      <c r="AI53" s="44">
        <v>0</v>
      </c>
      <c r="AJ53" s="40">
        <v>710</v>
      </c>
      <c r="AK53" s="40">
        <v>200</v>
      </c>
      <c r="AL53" s="43">
        <v>326</v>
      </c>
      <c r="AM53" s="45">
        <v>0</v>
      </c>
      <c r="AN53" s="45">
        <v>0</v>
      </c>
      <c r="AO53" s="40">
        <v>526</v>
      </c>
      <c r="AP53" s="46">
        <v>254000000</v>
      </c>
      <c r="AQ53" s="46">
        <v>263038947</v>
      </c>
      <c r="AR53" s="46">
        <v>0</v>
      </c>
      <c r="AS53" s="47">
        <v>0</v>
      </c>
      <c r="AT53" s="46" t="e">
        <f t="shared" ca="1" si="11"/>
        <v>#NAME?</v>
      </c>
      <c r="AU53" s="46">
        <v>0</v>
      </c>
      <c r="AV53" s="46">
        <v>4281429</v>
      </c>
      <c r="AW53" s="46">
        <v>0</v>
      </c>
      <c r="AX53" s="47">
        <v>0</v>
      </c>
      <c r="AY53" s="48" t="e">
        <f t="shared" ca="1" si="10"/>
        <v>#NAME?</v>
      </c>
      <c r="AZ53" s="49"/>
      <c r="BA53" s="49"/>
      <c r="BB53" s="49" t="s">
        <v>65</v>
      </c>
      <c r="BC53" s="51" t="s">
        <v>300</v>
      </c>
    </row>
    <row r="54" spans="1:55" s="52" customFormat="1" ht="37.5" customHeight="1">
      <c r="A54" s="34">
        <v>7</v>
      </c>
      <c r="B54" s="35" t="s">
        <v>43</v>
      </c>
      <c r="C54" s="34">
        <v>3</v>
      </c>
      <c r="D54" s="36" t="s">
        <v>290</v>
      </c>
      <c r="E54" s="34">
        <v>24</v>
      </c>
      <c r="F54" s="36" t="s">
        <v>291</v>
      </c>
      <c r="G54" s="37">
        <v>375</v>
      </c>
      <c r="H54" s="36" t="s">
        <v>301</v>
      </c>
      <c r="I54" s="38">
        <v>65</v>
      </c>
      <c r="J54" s="39" t="s">
        <v>302</v>
      </c>
      <c r="K54" s="38">
        <v>848</v>
      </c>
      <c r="L54" s="39" t="s">
        <v>294</v>
      </c>
      <c r="M54" s="38">
        <v>1</v>
      </c>
      <c r="N54" s="39" t="s">
        <v>303</v>
      </c>
      <c r="O54" s="40">
        <v>160</v>
      </c>
      <c r="P54" s="36" t="s">
        <v>304</v>
      </c>
      <c r="Q54" s="36" t="s">
        <v>305</v>
      </c>
      <c r="R54" s="39" t="s">
        <v>373</v>
      </c>
      <c r="S54" s="39" t="s">
        <v>372</v>
      </c>
      <c r="T54" s="35" t="s">
        <v>52</v>
      </c>
      <c r="U54" s="41">
        <v>1</v>
      </c>
      <c r="V54" s="42">
        <f t="shared" si="6"/>
        <v>1.5</v>
      </c>
      <c r="W54" s="42">
        <f t="shared" si="7"/>
        <v>1.5</v>
      </c>
      <c r="X54" s="42">
        <f t="shared" si="8"/>
        <v>1.45625</v>
      </c>
      <c r="Y54" s="42">
        <f t="shared" si="9"/>
        <v>1.45625</v>
      </c>
      <c r="Z54" s="38">
        <v>204</v>
      </c>
      <c r="AA54" s="40">
        <v>40</v>
      </c>
      <c r="AB54" s="40">
        <v>40</v>
      </c>
      <c r="AC54" s="40">
        <v>40</v>
      </c>
      <c r="AD54" s="40">
        <v>40</v>
      </c>
      <c r="AE54" s="40">
        <v>160</v>
      </c>
      <c r="AF54" s="40">
        <v>40</v>
      </c>
      <c r="AG54" s="40">
        <v>48</v>
      </c>
      <c r="AH54" s="43">
        <v>32</v>
      </c>
      <c r="AI54" s="44">
        <v>120</v>
      </c>
      <c r="AJ54" s="40">
        <v>240</v>
      </c>
      <c r="AK54" s="40">
        <v>36</v>
      </c>
      <c r="AL54" s="43">
        <v>45</v>
      </c>
      <c r="AM54" s="45">
        <v>32</v>
      </c>
      <c r="AN54" s="45">
        <v>120</v>
      </c>
      <c r="AO54" s="40">
        <v>233</v>
      </c>
      <c r="AP54" s="46">
        <v>214000000</v>
      </c>
      <c r="AQ54" s="46">
        <v>220485000</v>
      </c>
      <c r="AR54" s="46">
        <v>220922014</v>
      </c>
      <c r="AS54" s="47">
        <v>116426005</v>
      </c>
      <c r="AT54" s="46" t="e">
        <f t="shared" ca="1" si="11"/>
        <v>#NAME?</v>
      </c>
      <c r="AU54" s="46">
        <v>0</v>
      </c>
      <c r="AV54" s="46">
        <v>6392000</v>
      </c>
      <c r="AW54" s="46">
        <v>9392458</v>
      </c>
      <c r="AX54" s="47">
        <v>85834698</v>
      </c>
      <c r="AY54" s="48" t="e">
        <f t="shared" ca="1" si="10"/>
        <v>#NAME?</v>
      </c>
      <c r="AZ54" s="49"/>
      <c r="BA54" s="49"/>
      <c r="BB54" s="49" t="s">
        <v>65</v>
      </c>
      <c r="BC54" s="51" t="s">
        <v>306</v>
      </c>
    </row>
    <row r="55" spans="1:55" s="52" customFormat="1" ht="37.5" customHeight="1">
      <c r="A55" s="34">
        <v>7</v>
      </c>
      <c r="B55" s="35" t="s">
        <v>43</v>
      </c>
      <c r="C55" s="34">
        <v>3</v>
      </c>
      <c r="D55" s="36" t="s">
        <v>290</v>
      </c>
      <c r="E55" s="34">
        <v>24</v>
      </c>
      <c r="F55" s="36" t="s">
        <v>291</v>
      </c>
      <c r="G55" s="37">
        <v>376</v>
      </c>
      <c r="H55" s="36" t="s">
        <v>307</v>
      </c>
      <c r="I55" s="38">
        <v>63</v>
      </c>
      <c r="J55" s="39" t="s">
        <v>308</v>
      </c>
      <c r="K55" s="38">
        <v>848</v>
      </c>
      <c r="L55" s="39" t="s">
        <v>294</v>
      </c>
      <c r="M55" s="38">
        <v>7</v>
      </c>
      <c r="N55" s="39" t="s">
        <v>49</v>
      </c>
      <c r="O55" s="40">
        <v>75</v>
      </c>
      <c r="P55" s="36" t="s">
        <v>309</v>
      </c>
      <c r="Q55" s="36" t="s">
        <v>310</v>
      </c>
      <c r="R55" s="39" t="s">
        <v>373</v>
      </c>
      <c r="S55" s="39" t="s">
        <v>372</v>
      </c>
      <c r="T55" s="35" t="s">
        <v>52</v>
      </c>
      <c r="U55" s="41">
        <v>1</v>
      </c>
      <c r="V55" s="42">
        <f t="shared" si="6"/>
        <v>0.78666666666666663</v>
      </c>
      <c r="W55" s="42">
        <f t="shared" si="7"/>
        <v>0.78666666666666663</v>
      </c>
      <c r="X55" s="42">
        <f t="shared" si="8"/>
        <v>0.58666666666666667</v>
      </c>
      <c r="Y55" s="42">
        <f t="shared" si="9"/>
        <v>0.58666666666666667</v>
      </c>
      <c r="Z55" s="38">
        <v>91</v>
      </c>
      <c r="AA55" s="40">
        <v>18</v>
      </c>
      <c r="AB55" s="40">
        <v>19</v>
      </c>
      <c r="AC55" s="40">
        <v>19</v>
      </c>
      <c r="AD55" s="40">
        <v>19</v>
      </c>
      <c r="AE55" s="40">
        <v>75</v>
      </c>
      <c r="AF55" s="40">
        <v>19</v>
      </c>
      <c r="AG55" s="40">
        <v>25</v>
      </c>
      <c r="AH55" s="43">
        <v>0</v>
      </c>
      <c r="AI55" s="44">
        <v>15</v>
      </c>
      <c r="AJ55" s="40">
        <v>59</v>
      </c>
      <c r="AK55" s="40">
        <v>17</v>
      </c>
      <c r="AL55" s="43">
        <v>27</v>
      </c>
      <c r="AM55" s="45">
        <v>0</v>
      </c>
      <c r="AN55" s="45">
        <v>0</v>
      </c>
      <c r="AO55" s="40">
        <v>44</v>
      </c>
      <c r="AP55" s="46">
        <v>233029642</v>
      </c>
      <c r="AQ55" s="46">
        <v>143692304</v>
      </c>
      <c r="AR55" s="46">
        <v>0</v>
      </c>
      <c r="AS55" s="47">
        <v>189046256</v>
      </c>
      <c r="AT55" s="46" t="e">
        <f t="shared" ca="1" si="11"/>
        <v>#NAME?</v>
      </c>
      <c r="AU55" s="46">
        <v>0</v>
      </c>
      <c r="AV55" s="46">
        <v>7666624</v>
      </c>
      <c r="AW55" s="46">
        <v>0</v>
      </c>
      <c r="AX55" s="47">
        <v>0</v>
      </c>
      <c r="AY55" s="48" t="e">
        <f t="shared" ca="1" si="10"/>
        <v>#NAME?</v>
      </c>
      <c r="AZ55" s="49"/>
      <c r="BA55" s="49"/>
      <c r="BB55" s="49" t="s">
        <v>65</v>
      </c>
      <c r="BC55" s="51"/>
    </row>
    <row r="56" spans="1:55" s="52" customFormat="1" ht="37.5" customHeight="1">
      <c r="A56" s="34">
        <v>7</v>
      </c>
      <c r="B56" s="35" t="s">
        <v>43</v>
      </c>
      <c r="C56" s="34">
        <v>3</v>
      </c>
      <c r="D56" s="36" t="s">
        <v>290</v>
      </c>
      <c r="E56" s="34">
        <v>24</v>
      </c>
      <c r="F56" s="36" t="s">
        <v>291</v>
      </c>
      <c r="G56" s="37">
        <v>377</v>
      </c>
      <c r="H56" s="36" t="s">
        <v>311</v>
      </c>
      <c r="I56" s="38" t="s">
        <v>382</v>
      </c>
      <c r="J56" s="39" t="s">
        <v>196</v>
      </c>
      <c r="K56" s="38">
        <v>848</v>
      </c>
      <c r="L56" s="39" t="s">
        <v>294</v>
      </c>
      <c r="M56" s="38">
        <v>6</v>
      </c>
      <c r="N56" s="39" t="s">
        <v>312</v>
      </c>
      <c r="O56" s="40">
        <v>1</v>
      </c>
      <c r="P56" s="36" t="s">
        <v>313</v>
      </c>
      <c r="Q56" s="36" t="s">
        <v>314</v>
      </c>
      <c r="R56" s="39" t="s">
        <v>382</v>
      </c>
      <c r="S56" s="39" t="s">
        <v>382</v>
      </c>
      <c r="T56" s="35" t="s">
        <v>52</v>
      </c>
      <c r="U56" s="41">
        <v>1</v>
      </c>
      <c r="V56" s="42">
        <f t="shared" si="6"/>
        <v>1</v>
      </c>
      <c r="W56" s="42">
        <f t="shared" si="7"/>
        <v>1</v>
      </c>
      <c r="X56" s="42">
        <f t="shared" si="8"/>
        <v>1</v>
      </c>
      <c r="Y56" s="42">
        <f t="shared" si="9"/>
        <v>1</v>
      </c>
      <c r="Z56" s="38">
        <v>0</v>
      </c>
      <c r="AA56" s="40">
        <v>1</v>
      </c>
      <c r="AB56" s="40">
        <v>0</v>
      </c>
      <c r="AC56" s="40">
        <v>0</v>
      </c>
      <c r="AD56" s="40">
        <v>0</v>
      </c>
      <c r="AE56" s="40">
        <v>1</v>
      </c>
      <c r="AF56" s="40">
        <v>1</v>
      </c>
      <c r="AG56" s="40">
        <v>0</v>
      </c>
      <c r="AH56" s="43">
        <v>0</v>
      </c>
      <c r="AI56" s="44">
        <v>0</v>
      </c>
      <c r="AJ56" s="40">
        <v>1</v>
      </c>
      <c r="AK56" s="40">
        <v>1</v>
      </c>
      <c r="AL56" s="43">
        <v>0</v>
      </c>
      <c r="AM56" s="45">
        <v>0</v>
      </c>
      <c r="AN56" s="45">
        <v>0</v>
      </c>
      <c r="AO56" s="40">
        <v>1</v>
      </c>
      <c r="AP56" s="46">
        <v>3079952566</v>
      </c>
      <c r="AQ56" s="46">
        <v>0</v>
      </c>
      <c r="AR56" s="46">
        <v>0</v>
      </c>
      <c r="AS56" s="47">
        <v>0</v>
      </c>
      <c r="AT56" s="46" t="e">
        <f t="shared" ca="1" si="11"/>
        <v>#NAME?</v>
      </c>
      <c r="AU56" s="46">
        <v>215077847</v>
      </c>
      <c r="AV56" s="46">
        <v>0</v>
      </c>
      <c r="AW56" s="46">
        <v>0</v>
      </c>
      <c r="AX56" s="47">
        <v>0</v>
      </c>
      <c r="AY56" s="48" t="e">
        <f t="shared" ca="1" si="10"/>
        <v>#NAME?</v>
      </c>
      <c r="AZ56" s="49"/>
      <c r="BA56" s="49"/>
      <c r="BB56" s="49" t="s">
        <v>65</v>
      </c>
      <c r="BC56" s="51"/>
    </row>
    <row r="57" spans="1:55" s="52" customFormat="1" ht="37.5" customHeight="1">
      <c r="A57" s="34">
        <v>7</v>
      </c>
      <c r="B57" s="35" t="s">
        <v>43</v>
      </c>
      <c r="C57" s="34">
        <v>3</v>
      </c>
      <c r="D57" s="36" t="s">
        <v>290</v>
      </c>
      <c r="E57" s="34">
        <v>24</v>
      </c>
      <c r="F57" s="36" t="s">
        <v>291</v>
      </c>
      <c r="G57" s="37">
        <v>378</v>
      </c>
      <c r="H57" s="36" t="s">
        <v>315</v>
      </c>
      <c r="I57" s="38" t="s">
        <v>382</v>
      </c>
      <c r="J57" s="39" t="s">
        <v>196</v>
      </c>
      <c r="K57" s="38">
        <v>848</v>
      </c>
      <c r="L57" s="39" t="s">
        <v>294</v>
      </c>
      <c r="M57" s="38">
        <v>8</v>
      </c>
      <c r="N57" s="39" t="s">
        <v>49</v>
      </c>
      <c r="O57" s="40">
        <v>1</v>
      </c>
      <c r="P57" s="36" t="s">
        <v>316</v>
      </c>
      <c r="Q57" s="36" t="s">
        <v>317</v>
      </c>
      <c r="R57" s="39" t="s">
        <v>382</v>
      </c>
      <c r="S57" s="39" t="s">
        <v>382</v>
      </c>
      <c r="T57" s="35" t="s">
        <v>52</v>
      </c>
      <c r="U57" s="41">
        <v>1</v>
      </c>
      <c r="V57" s="42">
        <f t="shared" si="6"/>
        <v>1</v>
      </c>
      <c r="W57" s="42">
        <f t="shared" si="7"/>
        <v>1</v>
      </c>
      <c r="X57" s="42">
        <f t="shared" si="8"/>
        <v>1</v>
      </c>
      <c r="Y57" s="42">
        <f t="shared" si="9"/>
        <v>1</v>
      </c>
      <c r="Z57" s="38">
        <v>0</v>
      </c>
      <c r="AA57" s="40"/>
      <c r="AB57" s="40"/>
      <c r="AC57" s="40"/>
      <c r="AD57" s="40"/>
      <c r="AE57" s="40">
        <v>0</v>
      </c>
      <c r="AF57" s="40">
        <v>0</v>
      </c>
      <c r="AG57" s="40">
        <v>1</v>
      </c>
      <c r="AH57" s="43">
        <v>0</v>
      </c>
      <c r="AI57" s="44">
        <v>0</v>
      </c>
      <c r="AJ57" s="40">
        <v>1</v>
      </c>
      <c r="AK57" s="40">
        <v>0</v>
      </c>
      <c r="AL57" s="43">
        <v>1</v>
      </c>
      <c r="AM57" s="45">
        <v>0</v>
      </c>
      <c r="AN57" s="45">
        <v>0</v>
      </c>
      <c r="AO57" s="40">
        <v>1</v>
      </c>
      <c r="AP57" s="46">
        <v>0</v>
      </c>
      <c r="AQ57" s="46">
        <v>290340064</v>
      </c>
      <c r="AR57" s="46">
        <v>0</v>
      </c>
      <c r="AS57" s="47">
        <v>0</v>
      </c>
      <c r="AT57" s="46" t="e">
        <f t="shared" ca="1" si="11"/>
        <v>#NAME?</v>
      </c>
      <c r="AU57" s="46">
        <v>0</v>
      </c>
      <c r="AV57" s="46">
        <v>0</v>
      </c>
      <c r="AW57" s="46">
        <v>0</v>
      </c>
      <c r="AX57" s="47">
        <v>0</v>
      </c>
      <c r="AY57" s="48" t="e">
        <f t="shared" ca="1" si="10"/>
        <v>#NAME?</v>
      </c>
      <c r="AZ57" s="49"/>
      <c r="BA57" s="49"/>
      <c r="BB57" s="49" t="s">
        <v>65</v>
      </c>
      <c r="BC57" s="51"/>
    </row>
    <row r="58" spans="1:55" s="52" customFormat="1" ht="37.5" customHeight="1">
      <c r="A58" s="34">
        <v>7</v>
      </c>
      <c r="B58" s="35" t="s">
        <v>43</v>
      </c>
      <c r="C58" s="34">
        <v>3</v>
      </c>
      <c r="D58" s="36" t="s">
        <v>290</v>
      </c>
      <c r="E58" s="34">
        <v>24</v>
      </c>
      <c r="F58" s="36" t="s">
        <v>291</v>
      </c>
      <c r="G58" s="37">
        <v>379</v>
      </c>
      <c r="H58" s="36" t="s">
        <v>318</v>
      </c>
      <c r="I58" s="38">
        <v>66</v>
      </c>
      <c r="J58" s="39" t="s">
        <v>319</v>
      </c>
      <c r="K58" s="38">
        <v>848</v>
      </c>
      <c r="L58" s="39" t="s">
        <v>294</v>
      </c>
      <c r="M58" s="38">
        <v>2</v>
      </c>
      <c r="N58" s="39" t="s">
        <v>320</v>
      </c>
      <c r="O58" s="40">
        <v>1</v>
      </c>
      <c r="P58" s="36" t="s">
        <v>321</v>
      </c>
      <c r="Q58" s="36" t="s">
        <v>322</v>
      </c>
      <c r="R58" s="39" t="s">
        <v>373</v>
      </c>
      <c r="S58" s="39" t="s">
        <v>372</v>
      </c>
      <c r="T58" s="35" t="s">
        <v>52</v>
      </c>
      <c r="U58" s="41">
        <v>1</v>
      </c>
      <c r="V58" s="42">
        <f t="shared" si="6"/>
        <v>1</v>
      </c>
      <c r="W58" s="42">
        <f t="shared" si="7"/>
        <v>1</v>
      </c>
      <c r="X58" s="42">
        <f t="shared" si="8"/>
        <v>1</v>
      </c>
      <c r="Y58" s="42">
        <f t="shared" si="9"/>
        <v>1</v>
      </c>
      <c r="Z58" s="38">
        <v>1</v>
      </c>
      <c r="AA58" s="40">
        <v>1</v>
      </c>
      <c r="AB58" s="40">
        <v>0</v>
      </c>
      <c r="AC58" s="40">
        <v>0</v>
      </c>
      <c r="AD58" s="40">
        <v>0</v>
      </c>
      <c r="AE58" s="40">
        <v>1</v>
      </c>
      <c r="AF58" s="40">
        <v>0</v>
      </c>
      <c r="AG58" s="40">
        <v>1</v>
      </c>
      <c r="AH58" s="43">
        <v>0</v>
      </c>
      <c r="AI58" s="44">
        <v>0</v>
      </c>
      <c r="AJ58" s="40">
        <v>1</v>
      </c>
      <c r="AK58" s="40">
        <v>0</v>
      </c>
      <c r="AL58" s="43">
        <v>1</v>
      </c>
      <c r="AM58" s="45">
        <v>0</v>
      </c>
      <c r="AN58" s="45">
        <v>0</v>
      </c>
      <c r="AO58" s="40">
        <v>1</v>
      </c>
      <c r="AP58" s="46">
        <v>0</v>
      </c>
      <c r="AQ58" s="46">
        <v>179998496</v>
      </c>
      <c r="AR58" s="46">
        <v>0</v>
      </c>
      <c r="AS58" s="47">
        <v>0</v>
      </c>
      <c r="AT58" s="46" t="e">
        <f t="shared" ca="1" si="11"/>
        <v>#NAME?</v>
      </c>
      <c r="AU58" s="46">
        <v>0</v>
      </c>
      <c r="AV58" s="46">
        <v>0</v>
      </c>
      <c r="AW58" s="46">
        <v>0</v>
      </c>
      <c r="AX58" s="47">
        <v>0</v>
      </c>
      <c r="AY58" s="48" t="e">
        <f t="shared" ca="1" si="10"/>
        <v>#NAME?</v>
      </c>
      <c r="AZ58" s="49"/>
      <c r="BA58" s="49"/>
      <c r="BB58" s="49" t="s">
        <v>65</v>
      </c>
      <c r="BC58" s="51"/>
    </row>
    <row r="59" spans="1:55" s="52" customFormat="1" ht="37.5" customHeight="1">
      <c r="A59" s="34">
        <v>7</v>
      </c>
      <c r="B59" s="35" t="s">
        <v>43</v>
      </c>
      <c r="C59" s="34">
        <v>3</v>
      </c>
      <c r="D59" s="36" t="s">
        <v>290</v>
      </c>
      <c r="E59" s="34">
        <v>24</v>
      </c>
      <c r="F59" s="36" t="s">
        <v>291</v>
      </c>
      <c r="G59" s="37">
        <v>380</v>
      </c>
      <c r="H59" s="36" t="s">
        <v>323</v>
      </c>
      <c r="I59" s="38">
        <v>62</v>
      </c>
      <c r="J59" s="39" t="s">
        <v>324</v>
      </c>
      <c r="K59" s="38">
        <v>848</v>
      </c>
      <c r="L59" s="39" t="s">
        <v>294</v>
      </c>
      <c r="M59" s="38">
        <v>5</v>
      </c>
      <c r="N59" s="39" t="s">
        <v>56</v>
      </c>
      <c r="O59" s="40">
        <v>2000</v>
      </c>
      <c r="P59" s="36" t="s">
        <v>325</v>
      </c>
      <c r="Q59" s="97" t="s">
        <v>326</v>
      </c>
      <c r="R59" s="39" t="s">
        <v>362</v>
      </c>
      <c r="S59" s="39" t="s">
        <v>372</v>
      </c>
      <c r="T59" s="35" t="s">
        <v>52</v>
      </c>
      <c r="U59" s="41">
        <v>1</v>
      </c>
      <c r="V59" s="42">
        <f t="shared" si="6"/>
        <v>0.9</v>
      </c>
      <c r="W59" s="42">
        <f t="shared" si="7"/>
        <v>0.9</v>
      </c>
      <c r="X59" s="42">
        <f t="shared" si="8"/>
        <v>0.8</v>
      </c>
      <c r="Y59" s="42">
        <f t="shared" si="9"/>
        <v>0.8</v>
      </c>
      <c r="Z59" s="38">
        <v>0</v>
      </c>
      <c r="AA59" s="40">
        <v>500</v>
      </c>
      <c r="AB59" s="40">
        <v>500</v>
      </c>
      <c r="AC59" s="40">
        <v>500</v>
      </c>
      <c r="AD59" s="40">
        <v>500</v>
      </c>
      <c r="AE59" s="40">
        <v>2000</v>
      </c>
      <c r="AF59" s="40">
        <f>250+250</f>
        <v>500</v>
      </c>
      <c r="AG59" s="40">
        <v>1250</v>
      </c>
      <c r="AH59" s="43">
        <v>50</v>
      </c>
      <c r="AI59" s="44">
        <v>0</v>
      </c>
      <c r="AJ59" s="40">
        <v>1800</v>
      </c>
      <c r="AK59" s="40">
        <v>500</v>
      </c>
      <c r="AL59" s="43">
        <f>100+1000</f>
        <v>1100</v>
      </c>
      <c r="AM59" s="98">
        <v>0</v>
      </c>
      <c r="AN59" s="45">
        <v>0</v>
      </c>
      <c r="AO59" s="40">
        <v>1600</v>
      </c>
      <c r="AP59" s="46">
        <v>235542241</v>
      </c>
      <c r="AQ59" s="46">
        <v>255575000</v>
      </c>
      <c r="AR59" s="46">
        <v>40318496</v>
      </c>
      <c r="AS59" s="47">
        <v>0</v>
      </c>
      <c r="AT59" s="46" t="e">
        <f t="shared" ca="1" si="11"/>
        <v>#NAME?</v>
      </c>
      <c r="AU59" s="46">
        <f>24000000+96000000</f>
        <v>120000000</v>
      </c>
      <c r="AV59" s="46">
        <v>188180000</v>
      </c>
      <c r="AW59" s="46">
        <v>0</v>
      </c>
      <c r="AX59" s="47">
        <v>0</v>
      </c>
      <c r="AY59" s="48" t="e">
        <f t="shared" ca="1" si="10"/>
        <v>#NAME?</v>
      </c>
      <c r="AZ59" s="49"/>
      <c r="BA59" s="49"/>
      <c r="BB59" s="49" t="s">
        <v>65</v>
      </c>
      <c r="BC59" s="51" t="s">
        <v>327</v>
      </c>
    </row>
    <row r="60" spans="1:55" s="52" customFormat="1" ht="37.5" customHeight="1">
      <c r="A60" s="34">
        <v>7</v>
      </c>
      <c r="B60" s="35" t="s">
        <v>43</v>
      </c>
      <c r="C60" s="34">
        <v>3</v>
      </c>
      <c r="D60" s="36" t="s">
        <v>290</v>
      </c>
      <c r="E60" s="34">
        <v>25</v>
      </c>
      <c r="F60" s="36" t="s">
        <v>328</v>
      </c>
      <c r="G60" s="37">
        <v>381</v>
      </c>
      <c r="H60" s="36" t="s">
        <v>329</v>
      </c>
      <c r="I60" s="38">
        <v>69</v>
      </c>
      <c r="J60" s="39" t="s">
        <v>102</v>
      </c>
      <c r="K60" s="38">
        <v>850</v>
      </c>
      <c r="L60" s="39" t="s">
        <v>330</v>
      </c>
      <c r="M60" s="38">
        <v>2</v>
      </c>
      <c r="N60" s="39" t="s">
        <v>56</v>
      </c>
      <c r="O60" s="40">
        <v>1000</v>
      </c>
      <c r="P60" s="36" t="s">
        <v>63</v>
      </c>
      <c r="Q60" s="36" t="s">
        <v>331</v>
      </c>
      <c r="R60" s="39" t="s">
        <v>373</v>
      </c>
      <c r="S60" s="39" t="s">
        <v>374</v>
      </c>
      <c r="T60" s="35" t="s">
        <v>52</v>
      </c>
      <c r="U60" s="41">
        <v>1</v>
      </c>
      <c r="V60" s="42">
        <f t="shared" si="6"/>
        <v>2.0350000000000001</v>
      </c>
      <c r="W60" s="42">
        <f t="shared" si="7"/>
        <v>2.0350000000000001</v>
      </c>
      <c r="X60" s="42">
        <f t="shared" si="8"/>
        <v>2.0350000000000001</v>
      </c>
      <c r="Y60" s="42">
        <f t="shared" si="9"/>
        <v>2.0350000000000001</v>
      </c>
      <c r="Z60" s="38">
        <v>0</v>
      </c>
      <c r="AA60" s="40">
        <v>250</v>
      </c>
      <c r="AB60" s="40">
        <v>250</v>
      </c>
      <c r="AC60" s="40">
        <v>250</v>
      </c>
      <c r="AD60" s="40">
        <v>250</v>
      </c>
      <c r="AE60" s="40">
        <v>1000</v>
      </c>
      <c r="AF60" s="40">
        <v>2000</v>
      </c>
      <c r="AG60" s="40">
        <v>35</v>
      </c>
      <c r="AH60" s="43">
        <v>0</v>
      </c>
      <c r="AI60" s="44">
        <v>0</v>
      </c>
      <c r="AJ60" s="40">
        <v>2035</v>
      </c>
      <c r="AK60" s="40">
        <v>2000</v>
      </c>
      <c r="AL60" s="43">
        <v>35</v>
      </c>
      <c r="AM60" s="45">
        <v>0</v>
      </c>
      <c r="AN60" s="45">
        <v>0</v>
      </c>
      <c r="AO60" s="40">
        <v>2035</v>
      </c>
      <c r="AP60" s="46">
        <v>104288000</v>
      </c>
      <c r="AQ60" s="46">
        <v>186964459</v>
      </c>
      <c r="AR60" s="46">
        <v>0</v>
      </c>
      <c r="AS60" s="47">
        <v>0</v>
      </c>
      <c r="AT60" s="46" t="e">
        <f t="shared" ca="1" si="11"/>
        <v>#NAME?</v>
      </c>
      <c r="AU60" s="46">
        <v>0</v>
      </c>
      <c r="AV60" s="46">
        <v>0</v>
      </c>
      <c r="AW60" s="46">
        <v>0</v>
      </c>
      <c r="AX60" s="47">
        <v>0</v>
      </c>
      <c r="AY60" s="48" t="e">
        <f t="shared" ca="1" si="10"/>
        <v>#NAME?</v>
      </c>
      <c r="AZ60" s="49"/>
      <c r="BA60" s="49"/>
      <c r="BB60" s="49" t="s">
        <v>65</v>
      </c>
      <c r="BC60" s="51"/>
    </row>
    <row r="61" spans="1:55" s="52" customFormat="1" ht="37.5" customHeight="1">
      <c r="A61" s="34">
        <v>7</v>
      </c>
      <c r="B61" s="35" t="s">
        <v>43</v>
      </c>
      <c r="C61" s="34">
        <v>3</v>
      </c>
      <c r="D61" s="36" t="s">
        <v>290</v>
      </c>
      <c r="E61" s="34">
        <v>25</v>
      </c>
      <c r="F61" s="36" t="s">
        <v>328</v>
      </c>
      <c r="G61" s="37">
        <v>382</v>
      </c>
      <c r="H61" s="36" t="s">
        <v>332</v>
      </c>
      <c r="I61" s="38">
        <v>69</v>
      </c>
      <c r="J61" s="39" t="s">
        <v>102</v>
      </c>
      <c r="K61" s="38">
        <v>850</v>
      </c>
      <c r="L61" s="39" t="s">
        <v>330</v>
      </c>
      <c r="M61" s="38">
        <v>3</v>
      </c>
      <c r="N61" s="39" t="s">
        <v>56</v>
      </c>
      <c r="O61" s="40">
        <v>1000</v>
      </c>
      <c r="P61" s="36" t="s">
        <v>63</v>
      </c>
      <c r="Q61" s="36" t="s">
        <v>333</v>
      </c>
      <c r="R61" s="39" t="s">
        <v>373</v>
      </c>
      <c r="S61" s="39" t="s">
        <v>374</v>
      </c>
      <c r="T61" s="35" t="s">
        <v>52</v>
      </c>
      <c r="U61" s="41">
        <v>1</v>
      </c>
      <c r="V61" s="42">
        <f t="shared" si="6"/>
        <v>1.55</v>
      </c>
      <c r="W61" s="42">
        <f t="shared" si="7"/>
        <v>1.55</v>
      </c>
      <c r="X61" s="42">
        <f t="shared" si="8"/>
        <v>0.5</v>
      </c>
      <c r="Y61" s="42">
        <f t="shared" si="9"/>
        <v>0.5</v>
      </c>
      <c r="Z61" s="38">
        <v>0</v>
      </c>
      <c r="AA61" s="40">
        <v>250</v>
      </c>
      <c r="AB61" s="40">
        <v>250</v>
      </c>
      <c r="AC61" s="40">
        <v>250</v>
      </c>
      <c r="AD61" s="40">
        <v>250</v>
      </c>
      <c r="AE61" s="40">
        <v>1000</v>
      </c>
      <c r="AF61" s="40">
        <v>250</v>
      </c>
      <c r="AG61" s="40">
        <v>250</v>
      </c>
      <c r="AH61" s="43">
        <v>0</v>
      </c>
      <c r="AI61" s="44">
        <v>1050</v>
      </c>
      <c r="AJ61" s="40">
        <v>1550</v>
      </c>
      <c r="AK61" s="40">
        <v>250</v>
      </c>
      <c r="AL61" s="43">
        <v>250</v>
      </c>
      <c r="AM61" s="45">
        <v>0</v>
      </c>
      <c r="AN61" s="45">
        <v>0</v>
      </c>
      <c r="AO61" s="40">
        <v>500</v>
      </c>
      <c r="AP61" s="46">
        <v>89801568</v>
      </c>
      <c r="AQ61" s="46">
        <v>79325541</v>
      </c>
      <c r="AR61" s="46">
        <v>0</v>
      </c>
      <c r="AS61" s="47">
        <v>137838539</v>
      </c>
      <c r="AT61" s="46" t="e">
        <f t="shared" ca="1" si="11"/>
        <v>#NAME?</v>
      </c>
      <c r="AU61" s="46">
        <v>0</v>
      </c>
      <c r="AV61" s="46">
        <v>0</v>
      </c>
      <c r="AW61" s="46">
        <v>0</v>
      </c>
      <c r="AX61" s="47">
        <v>0</v>
      </c>
      <c r="AY61" s="48" t="e">
        <f t="shared" ca="1" si="10"/>
        <v>#NAME?</v>
      </c>
      <c r="AZ61" s="49"/>
      <c r="BA61" s="49"/>
      <c r="BB61" s="49" t="s">
        <v>65</v>
      </c>
      <c r="BC61" s="51"/>
    </row>
    <row r="62" spans="1:55" s="52" customFormat="1" ht="37.5" customHeight="1">
      <c r="A62" s="34">
        <v>7</v>
      </c>
      <c r="B62" s="35" t="s">
        <v>43</v>
      </c>
      <c r="C62" s="34">
        <v>3</v>
      </c>
      <c r="D62" s="36" t="s">
        <v>290</v>
      </c>
      <c r="E62" s="34">
        <v>25</v>
      </c>
      <c r="F62" s="36" t="s">
        <v>328</v>
      </c>
      <c r="G62" s="37">
        <v>383</v>
      </c>
      <c r="H62" s="36" t="s">
        <v>334</v>
      </c>
      <c r="I62" s="38">
        <v>68</v>
      </c>
      <c r="J62" s="39" t="s">
        <v>335</v>
      </c>
      <c r="K62" s="38">
        <v>850</v>
      </c>
      <c r="L62" s="39" t="s">
        <v>330</v>
      </c>
      <c r="M62" s="38">
        <v>1</v>
      </c>
      <c r="N62" s="39" t="s">
        <v>56</v>
      </c>
      <c r="O62" s="40">
        <v>1000</v>
      </c>
      <c r="P62" s="36" t="s">
        <v>63</v>
      </c>
      <c r="Q62" s="36" t="s">
        <v>336</v>
      </c>
      <c r="R62" s="39" t="s">
        <v>373</v>
      </c>
      <c r="S62" s="39" t="s">
        <v>374</v>
      </c>
      <c r="T62" s="35" t="s">
        <v>52</v>
      </c>
      <c r="U62" s="41">
        <v>1</v>
      </c>
      <c r="V62" s="42">
        <f t="shared" si="6"/>
        <v>4.25</v>
      </c>
      <c r="W62" s="42">
        <f t="shared" si="7"/>
        <v>4.25</v>
      </c>
      <c r="X62" s="42">
        <f t="shared" si="8"/>
        <v>5.1639999999999997</v>
      </c>
      <c r="Y62" s="42">
        <f t="shared" si="9"/>
        <v>5.1639999999999997</v>
      </c>
      <c r="Z62" s="38">
        <v>0</v>
      </c>
      <c r="AA62" s="40">
        <v>250</v>
      </c>
      <c r="AB62" s="40">
        <v>250</v>
      </c>
      <c r="AC62" s="40">
        <v>250</v>
      </c>
      <c r="AD62" s="40">
        <v>250</v>
      </c>
      <c r="AE62" s="40">
        <v>1000</v>
      </c>
      <c r="AF62" s="40">
        <v>2000</v>
      </c>
      <c r="AG62" s="40">
        <v>1000</v>
      </c>
      <c r="AH62" s="43">
        <v>1250</v>
      </c>
      <c r="AI62" s="44">
        <v>0</v>
      </c>
      <c r="AJ62" s="40">
        <v>4250</v>
      </c>
      <c r="AK62" s="40">
        <v>2000</v>
      </c>
      <c r="AL62" s="43">
        <f>368+1771</f>
        <v>2139</v>
      </c>
      <c r="AM62" s="45">
        <f>783+242</f>
        <v>1025</v>
      </c>
      <c r="AN62" s="45">
        <v>0</v>
      </c>
      <c r="AO62" s="40">
        <v>5164</v>
      </c>
      <c r="AP62" s="46">
        <v>95000000</v>
      </c>
      <c r="AQ62" s="46">
        <v>1157000000</v>
      </c>
      <c r="AR62" s="46">
        <v>1384000000</v>
      </c>
      <c r="AS62" s="47">
        <v>0</v>
      </c>
      <c r="AT62" s="46" t="e">
        <f t="shared" ca="1" si="11"/>
        <v>#NAME?</v>
      </c>
      <c r="AU62" s="46">
        <v>0</v>
      </c>
      <c r="AV62" s="46">
        <v>0</v>
      </c>
      <c r="AW62" s="46">
        <f>745360000</f>
        <v>745360000</v>
      </c>
      <c r="AX62" s="47">
        <v>0</v>
      </c>
      <c r="AY62" s="48" t="e">
        <f t="shared" ca="1" si="10"/>
        <v>#NAME?</v>
      </c>
      <c r="AZ62" s="49"/>
      <c r="BA62" s="49"/>
      <c r="BB62" s="49" t="s">
        <v>207</v>
      </c>
      <c r="BC62" s="51"/>
    </row>
    <row r="63" spans="1:55" s="52" customFormat="1" ht="37.5" customHeight="1">
      <c r="A63" s="34">
        <v>7</v>
      </c>
      <c r="B63" s="35" t="s">
        <v>43</v>
      </c>
      <c r="C63" s="34">
        <v>3</v>
      </c>
      <c r="D63" s="36" t="s">
        <v>290</v>
      </c>
      <c r="E63" s="34">
        <v>29</v>
      </c>
      <c r="F63" s="36" t="s">
        <v>337</v>
      </c>
      <c r="G63" s="37">
        <v>384</v>
      </c>
      <c r="H63" s="36" t="s">
        <v>338</v>
      </c>
      <c r="I63" s="38">
        <v>69</v>
      </c>
      <c r="J63" s="39" t="s">
        <v>102</v>
      </c>
      <c r="K63" s="38">
        <v>851</v>
      </c>
      <c r="L63" s="39" t="s">
        <v>339</v>
      </c>
      <c r="M63" s="38">
        <v>1</v>
      </c>
      <c r="N63" s="39" t="s">
        <v>56</v>
      </c>
      <c r="O63" s="40">
        <v>4000</v>
      </c>
      <c r="P63" s="36" t="s">
        <v>63</v>
      </c>
      <c r="Q63" s="36" t="s">
        <v>340</v>
      </c>
      <c r="R63" s="39" t="s">
        <v>373</v>
      </c>
      <c r="S63" s="39" t="s">
        <v>374</v>
      </c>
      <c r="T63" s="35" t="s">
        <v>52</v>
      </c>
      <c r="U63" s="41">
        <v>1</v>
      </c>
      <c r="V63" s="42">
        <f t="shared" si="6"/>
        <v>0.625</v>
      </c>
      <c r="W63" s="42">
        <f t="shared" si="7"/>
        <v>0.625</v>
      </c>
      <c r="X63" s="42">
        <f t="shared" si="8"/>
        <v>0.375</v>
      </c>
      <c r="Y63" s="42">
        <f t="shared" si="9"/>
        <v>0.375</v>
      </c>
      <c r="Z63" s="38">
        <v>0</v>
      </c>
      <c r="AA63" s="40">
        <v>0</v>
      </c>
      <c r="AB63" s="40">
        <v>2000</v>
      </c>
      <c r="AC63" s="40">
        <v>1000</v>
      </c>
      <c r="AD63" s="40">
        <v>1000</v>
      </c>
      <c r="AE63" s="40">
        <v>4000</v>
      </c>
      <c r="AF63" s="40">
        <v>0</v>
      </c>
      <c r="AG63" s="40">
        <v>1000</v>
      </c>
      <c r="AH63" s="43">
        <v>500</v>
      </c>
      <c r="AI63" s="44">
        <v>1000</v>
      </c>
      <c r="AJ63" s="40">
        <v>2500</v>
      </c>
      <c r="AK63" s="40">
        <v>0</v>
      </c>
      <c r="AL63" s="43">
        <v>1000</v>
      </c>
      <c r="AM63" s="45">
        <v>500</v>
      </c>
      <c r="AN63" s="45">
        <v>0</v>
      </c>
      <c r="AO63" s="40">
        <v>1500</v>
      </c>
      <c r="AP63" s="46">
        <v>0</v>
      </c>
      <c r="AQ63" s="46">
        <v>147750000</v>
      </c>
      <c r="AR63" s="46">
        <v>69653000</v>
      </c>
      <c r="AS63" s="47">
        <v>289359170</v>
      </c>
      <c r="AT63" s="46" t="e">
        <f t="shared" ca="1" si="11"/>
        <v>#NAME?</v>
      </c>
      <c r="AU63" s="46">
        <v>0</v>
      </c>
      <c r="AV63" s="46">
        <v>0</v>
      </c>
      <c r="AW63" s="46">
        <v>69653000</v>
      </c>
      <c r="AX63" s="47">
        <v>0</v>
      </c>
      <c r="AY63" s="48" t="e">
        <f t="shared" ca="1" si="10"/>
        <v>#NAME?</v>
      </c>
      <c r="AZ63" s="49"/>
      <c r="BA63" s="49"/>
      <c r="BB63" s="49" t="s">
        <v>65</v>
      </c>
      <c r="BC63" s="51"/>
    </row>
    <row r="64" spans="1:55" s="52" customFormat="1" ht="37.5" customHeight="1">
      <c r="A64" s="34">
        <v>7</v>
      </c>
      <c r="B64" s="35" t="s">
        <v>43</v>
      </c>
      <c r="C64" s="34">
        <v>3</v>
      </c>
      <c r="D64" s="36" t="s">
        <v>290</v>
      </c>
      <c r="E64" s="34">
        <v>30</v>
      </c>
      <c r="F64" s="36" t="s">
        <v>341</v>
      </c>
      <c r="G64" s="37">
        <v>385</v>
      </c>
      <c r="H64" s="36" t="s">
        <v>342</v>
      </c>
      <c r="I64" s="38">
        <v>67</v>
      </c>
      <c r="J64" s="39" t="s">
        <v>343</v>
      </c>
      <c r="K64" s="38">
        <v>852</v>
      </c>
      <c r="L64" s="39" t="s">
        <v>344</v>
      </c>
      <c r="M64" s="38">
        <v>1</v>
      </c>
      <c r="N64" s="39" t="s">
        <v>56</v>
      </c>
      <c r="O64" s="40">
        <v>3400</v>
      </c>
      <c r="P64" s="36" t="s">
        <v>63</v>
      </c>
      <c r="Q64" s="36" t="s">
        <v>345</v>
      </c>
      <c r="R64" s="39" t="s">
        <v>365</v>
      </c>
      <c r="S64" s="39" t="s">
        <v>372</v>
      </c>
      <c r="T64" s="35" t="s">
        <v>52</v>
      </c>
      <c r="U64" s="41">
        <v>1</v>
      </c>
      <c r="V64" s="42">
        <f t="shared" si="6"/>
        <v>1.1744117647058823</v>
      </c>
      <c r="W64" s="42">
        <f t="shared" si="7"/>
        <v>1.1744117647058823</v>
      </c>
      <c r="X64" s="42">
        <f t="shared" si="8"/>
        <v>1.5408823529411764</v>
      </c>
      <c r="Y64" s="42">
        <f t="shared" si="9"/>
        <v>1.5408823529411764</v>
      </c>
      <c r="Z64" s="38">
        <v>0</v>
      </c>
      <c r="AA64" s="40">
        <v>0</v>
      </c>
      <c r="AB64" s="40">
        <v>1700</v>
      </c>
      <c r="AC64" s="40">
        <v>850</v>
      </c>
      <c r="AD64" s="40">
        <v>850</v>
      </c>
      <c r="AE64" s="40">
        <v>3400</v>
      </c>
      <c r="AF64" s="40">
        <v>0</v>
      </c>
      <c r="AG64" s="40">
        <v>1500</v>
      </c>
      <c r="AH64" s="43">
        <f>390+468+785+50</f>
        <v>1693</v>
      </c>
      <c r="AI64" s="44">
        <v>800</v>
      </c>
      <c r="AJ64" s="40">
        <v>3993</v>
      </c>
      <c r="AK64" s="40">
        <v>0</v>
      </c>
      <c r="AL64" s="43">
        <f>1061+1055+700+730</f>
        <v>3546</v>
      </c>
      <c r="AM64" s="45">
        <v>1693</v>
      </c>
      <c r="AN64" s="45">
        <v>0</v>
      </c>
      <c r="AO64" s="40">
        <v>5239</v>
      </c>
      <c r="AP64" s="46">
        <v>0</v>
      </c>
      <c r="AQ64" s="46">
        <v>309412415</v>
      </c>
      <c r="AR64" s="46">
        <v>149812500</v>
      </c>
      <c r="AS64" s="47">
        <v>204721166</v>
      </c>
      <c r="AT64" s="46" t="e">
        <f t="shared" ca="1" si="11"/>
        <v>#NAME?</v>
      </c>
      <c r="AU64" s="46">
        <v>0</v>
      </c>
      <c r="AV64" s="46">
        <v>0</v>
      </c>
      <c r="AW64" s="46">
        <v>129112500</v>
      </c>
      <c r="AX64" s="47">
        <v>0</v>
      </c>
      <c r="AY64" s="48" t="e">
        <f t="shared" ca="1" si="10"/>
        <v>#NAME?</v>
      </c>
      <c r="AZ64" s="55"/>
      <c r="BA64" s="55"/>
      <c r="BB64" s="49" t="s">
        <v>65</v>
      </c>
      <c r="BC64" s="51"/>
    </row>
    <row r="65" spans="1:55" s="52" customFormat="1" ht="37.5" customHeight="1">
      <c r="A65" s="99">
        <v>7</v>
      </c>
      <c r="B65" s="58" t="s">
        <v>43</v>
      </c>
      <c r="C65" s="99">
        <v>3</v>
      </c>
      <c r="D65" s="100" t="s">
        <v>290</v>
      </c>
      <c r="E65" s="99">
        <v>31</v>
      </c>
      <c r="F65" s="100" t="s">
        <v>346</v>
      </c>
      <c r="G65" s="101">
        <v>386</v>
      </c>
      <c r="H65" s="100" t="s">
        <v>347</v>
      </c>
      <c r="I65" s="61">
        <v>75</v>
      </c>
      <c r="J65" s="57" t="s">
        <v>348</v>
      </c>
      <c r="K65" s="61">
        <v>853</v>
      </c>
      <c r="L65" s="57" t="s">
        <v>349</v>
      </c>
      <c r="M65" s="61">
        <v>1</v>
      </c>
      <c r="N65" s="57" t="s">
        <v>350</v>
      </c>
      <c r="O65" s="62">
        <v>9</v>
      </c>
      <c r="P65" s="100" t="s">
        <v>351</v>
      </c>
      <c r="Q65" s="100" t="s">
        <v>352</v>
      </c>
      <c r="R65" s="57" t="s">
        <v>373</v>
      </c>
      <c r="S65" s="57" t="s">
        <v>395</v>
      </c>
      <c r="T65" s="58" t="s">
        <v>85</v>
      </c>
      <c r="U65" s="59">
        <v>1</v>
      </c>
      <c r="V65" s="60">
        <f t="shared" si="6"/>
        <v>0.91666666666666663</v>
      </c>
      <c r="W65" s="60">
        <f t="shared" si="7"/>
        <v>0.91666666666666663</v>
      </c>
      <c r="X65" s="60">
        <f t="shared" si="8"/>
        <v>0.91666666666666663</v>
      </c>
      <c r="Y65" s="60">
        <f t="shared" si="9"/>
        <v>0.91666666666666663</v>
      </c>
      <c r="Z65" s="61">
        <v>8</v>
      </c>
      <c r="AA65" s="62">
        <v>9</v>
      </c>
      <c r="AB65" s="62">
        <v>9</v>
      </c>
      <c r="AC65" s="62">
        <v>9</v>
      </c>
      <c r="AD65" s="62">
        <v>9</v>
      </c>
      <c r="AE65" s="62">
        <v>9</v>
      </c>
      <c r="AF65" s="62">
        <v>8</v>
      </c>
      <c r="AG65" s="62">
        <v>8</v>
      </c>
      <c r="AH65" s="63">
        <v>8</v>
      </c>
      <c r="AI65" s="64">
        <v>9</v>
      </c>
      <c r="AJ65" s="62">
        <v>8.25</v>
      </c>
      <c r="AK65" s="62">
        <v>8</v>
      </c>
      <c r="AL65" s="63">
        <v>8</v>
      </c>
      <c r="AM65" s="64">
        <v>8</v>
      </c>
      <c r="AN65" s="64">
        <v>9</v>
      </c>
      <c r="AO65" s="62">
        <v>8.25</v>
      </c>
      <c r="AP65" s="49">
        <v>488045715</v>
      </c>
      <c r="AQ65" s="49">
        <v>508973108</v>
      </c>
      <c r="AR65" s="46">
        <v>529657971</v>
      </c>
      <c r="AS65" s="67">
        <v>642916265</v>
      </c>
      <c r="AT65" s="49" t="e">
        <f t="shared" ca="1" si="11"/>
        <v>#NAME?</v>
      </c>
      <c r="AU65" s="49">
        <v>488045715</v>
      </c>
      <c r="AV65" s="49">
        <v>508973108</v>
      </c>
      <c r="AW65" s="46">
        <v>529657971</v>
      </c>
      <c r="AX65" s="67">
        <v>642916265</v>
      </c>
      <c r="AY65" s="49" t="e">
        <f t="shared" ca="1" si="10"/>
        <v>#NAME?</v>
      </c>
      <c r="AZ65" s="49"/>
      <c r="BA65" s="49"/>
      <c r="BB65" s="49" t="s">
        <v>65</v>
      </c>
      <c r="BC65" s="68" t="s">
        <v>353</v>
      </c>
    </row>
    <row r="66" spans="1:55" s="52" customFormat="1" ht="37.5" customHeight="1">
      <c r="A66" s="99">
        <v>7</v>
      </c>
      <c r="B66" s="58" t="s">
        <v>43</v>
      </c>
      <c r="C66" s="99">
        <v>3</v>
      </c>
      <c r="D66" s="100" t="s">
        <v>290</v>
      </c>
      <c r="E66" s="99">
        <v>31</v>
      </c>
      <c r="F66" s="100" t="s">
        <v>346</v>
      </c>
      <c r="G66" s="101">
        <v>387</v>
      </c>
      <c r="H66" s="100" t="s">
        <v>354</v>
      </c>
      <c r="I66" s="61">
        <v>76</v>
      </c>
      <c r="J66" s="57" t="s">
        <v>355</v>
      </c>
      <c r="K66" s="61">
        <v>853</v>
      </c>
      <c r="L66" s="57" t="s">
        <v>349</v>
      </c>
      <c r="M66" s="61">
        <v>2</v>
      </c>
      <c r="N66" s="57" t="s">
        <v>356</v>
      </c>
      <c r="O66" s="62">
        <v>1</v>
      </c>
      <c r="P66" s="100" t="s">
        <v>357</v>
      </c>
      <c r="Q66" s="100" t="s">
        <v>358</v>
      </c>
      <c r="R66" s="57" t="s">
        <v>373</v>
      </c>
      <c r="S66" s="57" t="s">
        <v>395</v>
      </c>
      <c r="T66" s="58" t="s">
        <v>85</v>
      </c>
      <c r="U66" s="59">
        <v>1</v>
      </c>
      <c r="V66" s="60">
        <f t="shared" si="6"/>
        <v>1</v>
      </c>
      <c r="W66" s="60">
        <f t="shared" si="7"/>
        <v>1</v>
      </c>
      <c r="X66" s="60">
        <f t="shared" si="8"/>
        <v>1</v>
      </c>
      <c r="Y66" s="60">
        <f t="shared" si="9"/>
        <v>1</v>
      </c>
      <c r="Z66" s="61">
        <v>1</v>
      </c>
      <c r="AA66" s="62">
        <v>1</v>
      </c>
      <c r="AB66" s="62">
        <v>1</v>
      </c>
      <c r="AC66" s="62">
        <v>1</v>
      </c>
      <c r="AD66" s="62">
        <v>1</v>
      </c>
      <c r="AE66" s="62">
        <v>1</v>
      </c>
      <c r="AF66" s="62">
        <v>1</v>
      </c>
      <c r="AG66" s="62">
        <v>1</v>
      </c>
      <c r="AH66" s="63">
        <v>1</v>
      </c>
      <c r="AI66" s="64">
        <v>1</v>
      </c>
      <c r="AJ66" s="62">
        <v>1</v>
      </c>
      <c r="AK66" s="62">
        <v>1</v>
      </c>
      <c r="AL66" s="63">
        <v>1</v>
      </c>
      <c r="AM66" s="64">
        <v>1</v>
      </c>
      <c r="AN66" s="64">
        <v>1</v>
      </c>
      <c r="AO66" s="102">
        <v>1</v>
      </c>
      <c r="AP66" s="49">
        <v>2775865708</v>
      </c>
      <c r="AQ66" s="49">
        <v>2670552632</v>
      </c>
      <c r="AR66" s="49">
        <v>2529744368</v>
      </c>
      <c r="AS66" s="67">
        <f>3124452235-AS65</f>
        <v>2481535970</v>
      </c>
      <c r="AT66" s="49" t="e">
        <f t="shared" ca="1" si="11"/>
        <v>#NAME?</v>
      </c>
      <c r="AU66" s="49">
        <v>1278219999</v>
      </c>
      <c r="AV66" s="49">
        <v>1160809538</v>
      </c>
      <c r="AW66" s="49">
        <v>1638373351</v>
      </c>
      <c r="AX66" s="67">
        <f>1969290414-AX65</f>
        <v>1326374149</v>
      </c>
      <c r="AY66" s="49" t="e">
        <f t="shared" ca="1" si="10"/>
        <v>#NAME?</v>
      </c>
      <c r="AZ66" s="49"/>
      <c r="BA66" s="49"/>
      <c r="BB66" s="49" t="s">
        <v>65</v>
      </c>
      <c r="BC66" s="68" t="s">
        <v>353</v>
      </c>
    </row>
    <row r="73" spans="1:55" ht="15" customHeight="1"/>
  </sheetData>
  <mergeCells count="8">
    <mergeCell ref="AP1:AT1"/>
    <mergeCell ref="AU1:AY1"/>
    <mergeCell ref="AZ1:BA1"/>
    <mergeCell ref="A1:S1"/>
    <mergeCell ref="T1:Z1"/>
    <mergeCell ref="AA1:AE1"/>
    <mergeCell ref="AF1:AJ1"/>
    <mergeCell ref="AK1:AO1"/>
  </mergeCells>
  <dataValidations count="6">
    <dataValidation type="list" allowBlank="1" showInputMessage="1" showErrorMessage="1" sqref="BB3:BB66 KX3:KX66 UT3:UT66 AEP3:AEP66">
      <formula1>TEMASPRIORITARIOS</formula1>
      <formula2>0</formula2>
    </dataValidation>
    <dataValidation type="list" allowBlank="1" showErrorMessage="1" sqref="D3:D66 IZ3:IZ66 SV3:SV66 ACR3:ACR66">
      <formula1>EJES</formula1>
      <formula2>0</formula2>
    </dataValidation>
    <dataValidation type="list" allowBlank="1" showErrorMessage="1" sqref="B3:B66 IX3:IX66 ST3:ST66 ACP3:ACP66">
      <formula1>LOCALIDADES</formula1>
      <formula2>0</formula2>
    </dataValidation>
    <dataValidation type="list" allowBlank="1" showErrorMessage="1" sqref="J3:J66 JF3:JF66 TB3:TB66 ACX3:ACX66">
      <formula1>INDICADORAGREGADO</formula1>
      <formula2>0</formula2>
    </dataValidation>
    <dataValidation type="list" allowBlank="1" showErrorMessage="1" sqref="F3:F66 JB3:JB66 SX3:SX66 ACT3:ACT66">
      <formula1>INDIRECT(#REF!)</formula1>
      <formula2>0</formula2>
    </dataValidation>
    <dataValidation type="list" allowBlank="1" showErrorMessage="1" sqref="T3:T66 JP3:JP66 TL3:TL66 ADH3:ADH66">
      <formula1>TIPOMETA</formula1>
      <formula2>0</formula2>
    </dataValidation>
  </dataValidations>
  <pageMargins left="0.7" right="0.7" top="0.75" bottom="0.75" header="0.51180555555555496" footer="0.51180555555555496"/>
  <pageSetup paperSize="0" scale="0" firstPageNumber="0" orientation="portrait" usePrinterDefaults="0" horizontalDpi="0" verticalDpi="0" copies="0"/>
  <legacyDrawing r:id="rId1"/>
</worksheet>
</file>

<file path=xl/worksheets/sheet2.xml><?xml version="1.0" encoding="utf-8"?>
<worksheet xmlns="http://schemas.openxmlformats.org/spreadsheetml/2006/main" xmlns:r="http://schemas.openxmlformats.org/officeDocument/2006/relationships">
  <dimension ref="A1:AMK73"/>
  <sheetViews>
    <sheetView tabSelected="1" topLeftCell="D1" zoomScaleNormal="100" workbookViewId="0">
      <selection activeCell="O7" sqref="O7"/>
    </sheetView>
  </sheetViews>
  <sheetFormatPr baseColWidth="10" defaultColWidth="9.140625" defaultRowHeight="15"/>
  <cols>
    <col min="1" max="1" width="0" style="8" hidden="1"/>
    <col min="2" max="2" width="0" style="9" hidden="1"/>
    <col min="3" max="3" width="0" style="8" hidden="1"/>
    <col min="4" max="4" width="42.7109375" style="8"/>
    <col min="5" max="5" width="11" style="10"/>
    <col min="6" max="6" width="11" style="8"/>
    <col min="7" max="7" width="11" style="10"/>
    <col min="8" max="8" width="11" style="11"/>
    <col min="9" max="9" width="11" style="12"/>
    <col min="10" max="10" width="11" style="13"/>
    <col min="11" max="11" width="11" style="14"/>
    <col min="12" max="12" width="11" style="13"/>
    <col min="13" max="13" width="11" style="14"/>
    <col min="14" max="14" width="11" style="13"/>
    <col min="15" max="15" width="11" style="14"/>
    <col min="16" max="16" width="11" style="15"/>
    <col min="17" max="18" width="11" style="11"/>
    <col min="19" max="19" width="0" style="11" hidden="1"/>
    <col min="20" max="20" width="11" style="14"/>
    <col min="21" max="27" width="0" style="13" hidden="1"/>
    <col min="28" max="45" width="0" style="15" hidden="1"/>
    <col min="46" max="46" width="15.140625" style="15"/>
    <col min="47" max="54" width="0" style="15" hidden="1"/>
    <col min="55" max="55" width="0" style="16" hidden="1"/>
    <col min="56" max="56" width="0" style="15" hidden="1"/>
    <col min="57" max="257" width="11" style="9"/>
    <col min="258" max="260" width="0" style="9" hidden="1"/>
    <col min="261" max="261" width="11" style="9"/>
    <col min="262" max="263" width="0" style="9" hidden="1"/>
    <col min="264" max="265" width="11" style="9"/>
    <col min="266" max="266" width="0" style="9" hidden="1"/>
    <col min="267" max="269" width="11" style="9"/>
    <col min="270" max="276" width="0" style="9" hidden="1"/>
    <col min="277" max="277" width="11" style="9"/>
    <col min="278" max="314" width="0" style="9" hidden="1"/>
    <col min="315" max="513" width="11" style="9"/>
    <col min="514" max="516" width="0" style="9" hidden="1"/>
    <col min="517" max="517" width="11" style="9"/>
    <col min="518" max="519" width="0" style="9" hidden="1"/>
    <col min="520" max="521" width="11" style="9"/>
    <col min="522" max="522" width="0" style="9" hidden="1"/>
    <col min="523" max="525" width="11" style="9"/>
    <col min="526" max="532" width="0" style="9" hidden="1"/>
    <col min="533" max="533" width="11" style="9"/>
    <col min="534" max="570" width="0" style="9" hidden="1"/>
    <col min="571" max="769" width="11" style="9"/>
    <col min="770" max="772" width="0" style="9" hidden="1"/>
    <col min="773" max="773" width="11" style="9"/>
    <col min="774" max="775" width="0" style="9" hidden="1"/>
    <col min="776" max="777" width="11" style="9"/>
    <col min="778" max="778" width="0" style="9" hidden="1"/>
    <col min="779" max="781" width="11" style="9"/>
    <col min="782" max="788" width="0" style="9" hidden="1"/>
    <col min="789" max="789" width="11" style="9"/>
    <col min="790" max="826" width="0" style="9" hidden="1"/>
    <col min="827" max="1025" width="11" style="9"/>
  </cols>
  <sheetData>
    <row r="1" spans="1:56" s="19" customFormat="1" ht="23.25" customHeight="1">
      <c r="A1" s="7" t="s">
        <v>0</v>
      </c>
      <c r="B1" s="7"/>
      <c r="C1" s="7"/>
      <c r="D1" s="7"/>
      <c r="E1" s="7"/>
      <c r="F1" s="7"/>
      <c r="G1" s="7"/>
      <c r="H1" s="7"/>
      <c r="I1" s="7"/>
      <c r="J1" s="7"/>
      <c r="K1" s="7"/>
      <c r="L1" s="7"/>
      <c r="M1" s="7"/>
      <c r="N1" s="7"/>
      <c r="O1" s="7"/>
      <c r="P1" s="7"/>
      <c r="Q1" s="7"/>
      <c r="R1" s="7"/>
      <c r="S1" s="7"/>
      <c r="T1" s="7"/>
      <c r="U1" s="6" t="s">
        <v>1</v>
      </c>
      <c r="V1" s="6"/>
      <c r="W1" s="6"/>
      <c r="X1" s="6"/>
      <c r="Y1" s="6"/>
      <c r="Z1" s="6"/>
      <c r="AA1" s="6"/>
      <c r="AB1" s="5" t="s">
        <v>2</v>
      </c>
      <c r="AC1" s="5"/>
      <c r="AD1" s="5"/>
      <c r="AE1" s="5"/>
      <c r="AF1" s="5"/>
      <c r="AG1" s="4" t="s">
        <v>3</v>
      </c>
      <c r="AH1" s="4"/>
      <c r="AI1" s="4"/>
      <c r="AJ1" s="4"/>
      <c r="AK1" s="4"/>
      <c r="AL1" s="5" t="s">
        <v>4</v>
      </c>
      <c r="AM1" s="5"/>
      <c r="AN1" s="5"/>
      <c r="AO1" s="5"/>
      <c r="AP1" s="5"/>
      <c r="AQ1" s="3" t="s">
        <v>5</v>
      </c>
      <c r="AR1" s="3"/>
      <c r="AS1" s="3"/>
      <c r="AT1" s="3"/>
      <c r="AU1" s="3"/>
      <c r="AV1" s="2" t="s">
        <v>6</v>
      </c>
      <c r="AW1" s="2"/>
      <c r="AX1" s="2"/>
      <c r="AY1" s="2"/>
      <c r="AZ1" s="2"/>
      <c r="BA1" s="1" t="s">
        <v>7</v>
      </c>
      <c r="BB1" s="1"/>
      <c r="BC1" s="17"/>
      <c r="BD1" s="18"/>
    </row>
    <row r="2" spans="1:56" s="19" customFormat="1" ht="54" customHeight="1">
      <c r="A2" s="18" t="s">
        <v>8</v>
      </c>
      <c r="B2" s="18" t="s">
        <v>9</v>
      </c>
      <c r="C2" s="20" t="s">
        <v>10</v>
      </c>
      <c r="D2" s="103" t="s">
        <v>11</v>
      </c>
      <c r="E2" s="104" t="s">
        <v>11</v>
      </c>
      <c r="F2" s="105" t="s">
        <v>12</v>
      </c>
      <c r="G2" s="104" t="s">
        <v>13</v>
      </c>
      <c r="H2" s="105" t="s">
        <v>14</v>
      </c>
      <c r="I2" s="105" t="s">
        <v>15</v>
      </c>
      <c r="J2" s="106" t="s">
        <v>16</v>
      </c>
      <c r="K2" s="106" t="s">
        <v>17</v>
      </c>
      <c r="L2" s="107" t="s">
        <v>18</v>
      </c>
      <c r="M2" s="108" t="s">
        <v>19</v>
      </c>
      <c r="N2" s="108" t="s">
        <v>20</v>
      </c>
      <c r="O2" s="109" t="s">
        <v>21</v>
      </c>
      <c r="P2" s="110" t="s">
        <v>22</v>
      </c>
      <c r="Q2" s="111" t="s">
        <v>23</v>
      </c>
      <c r="R2" s="111" t="s">
        <v>24</v>
      </c>
      <c r="S2" s="111" t="s">
        <v>25</v>
      </c>
      <c r="T2" s="111" t="s">
        <v>26</v>
      </c>
      <c r="U2" s="112" t="s">
        <v>27</v>
      </c>
      <c r="V2" s="27" t="s">
        <v>28</v>
      </c>
      <c r="W2" s="27" t="s">
        <v>29</v>
      </c>
      <c r="X2" s="26" t="s">
        <v>30</v>
      </c>
      <c r="Y2" s="27" t="s">
        <v>31</v>
      </c>
      <c r="Z2" s="26" t="s">
        <v>32</v>
      </c>
      <c r="AA2" s="26" t="s">
        <v>33</v>
      </c>
      <c r="AB2" s="28">
        <v>2013</v>
      </c>
      <c r="AC2" s="28">
        <v>2014</v>
      </c>
      <c r="AD2" s="28">
        <v>2015</v>
      </c>
      <c r="AE2" s="28">
        <v>2016</v>
      </c>
      <c r="AF2" s="28" t="s">
        <v>34</v>
      </c>
      <c r="AG2" s="25">
        <v>2013</v>
      </c>
      <c r="AH2" s="29">
        <v>2014</v>
      </c>
      <c r="AI2" s="30">
        <v>2015</v>
      </c>
      <c r="AJ2" s="25">
        <v>2016</v>
      </c>
      <c r="AK2" s="29" t="s">
        <v>35</v>
      </c>
      <c r="AL2" s="31">
        <v>2013</v>
      </c>
      <c r="AM2" s="31">
        <v>2014</v>
      </c>
      <c r="AN2" s="28">
        <v>2015</v>
      </c>
      <c r="AO2" s="28">
        <v>2016</v>
      </c>
      <c r="AP2" s="28" t="s">
        <v>36</v>
      </c>
      <c r="AQ2" s="25">
        <v>2013</v>
      </c>
      <c r="AR2" s="29">
        <v>2014</v>
      </c>
      <c r="AS2" s="30">
        <v>2015</v>
      </c>
      <c r="AT2" s="25">
        <v>2016</v>
      </c>
      <c r="AU2" s="25" t="s">
        <v>37</v>
      </c>
      <c r="AV2" s="28">
        <v>2013</v>
      </c>
      <c r="AW2" s="31">
        <v>2014</v>
      </c>
      <c r="AX2" s="28">
        <v>2015</v>
      </c>
      <c r="AY2" s="28">
        <v>2016</v>
      </c>
      <c r="AZ2" s="28" t="s">
        <v>38</v>
      </c>
      <c r="BA2" s="32" t="s">
        <v>39</v>
      </c>
      <c r="BB2" s="32" t="s">
        <v>40</v>
      </c>
      <c r="BC2" s="33" t="s">
        <v>41</v>
      </c>
      <c r="BD2" s="25" t="s">
        <v>42</v>
      </c>
    </row>
    <row r="3" spans="1:56" s="52" customFormat="1" ht="37.5" customHeight="1">
      <c r="A3" s="34">
        <v>7</v>
      </c>
      <c r="B3" s="35" t="s">
        <v>43</v>
      </c>
      <c r="C3" s="34">
        <v>1</v>
      </c>
      <c r="D3" s="113" t="s">
        <v>359</v>
      </c>
      <c r="E3" s="36" t="s">
        <v>44</v>
      </c>
      <c r="F3" s="34">
        <v>1</v>
      </c>
      <c r="G3" s="36" t="s">
        <v>45</v>
      </c>
      <c r="H3" s="37">
        <v>324</v>
      </c>
      <c r="I3" s="36" t="s">
        <v>46</v>
      </c>
      <c r="J3" s="38">
        <v>2</v>
      </c>
      <c r="K3" s="39" t="s">
        <v>47</v>
      </c>
      <c r="L3" s="38">
        <v>1243</v>
      </c>
      <c r="M3" s="39" t="s">
        <v>48</v>
      </c>
      <c r="N3" s="38">
        <v>1</v>
      </c>
      <c r="O3" s="39" t="s">
        <v>49</v>
      </c>
      <c r="P3" s="40">
        <v>80</v>
      </c>
      <c r="Q3" s="36" t="s">
        <v>50</v>
      </c>
      <c r="R3" s="36" t="s">
        <v>51</v>
      </c>
      <c r="S3" s="39" t="s">
        <v>362</v>
      </c>
      <c r="T3" s="39" t="s">
        <v>363</v>
      </c>
      <c r="U3" s="35" t="s">
        <v>52</v>
      </c>
      <c r="V3" s="41">
        <v>1</v>
      </c>
      <c r="W3" s="42">
        <f t="shared" ref="W3:W34" si="0">AK3/P3</f>
        <v>0.5</v>
      </c>
      <c r="X3" s="42">
        <f t="shared" ref="X3:X34" si="1">V3*W3</f>
        <v>0.5</v>
      </c>
      <c r="Y3" s="42">
        <f t="shared" ref="Y3:Y34" si="2">AP3/P3</f>
        <v>0.5</v>
      </c>
      <c r="Z3" s="42">
        <f t="shared" ref="Z3:Z34" si="3">Y3*V3</f>
        <v>0.5</v>
      </c>
      <c r="AA3" s="38">
        <v>116</v>
      </c>
      <c r="AB3" s="40">
        <v>20</v>
      </c>
      <c r="AC3" s="40">
        <v>20</v>
      </c>
      <c r="AD3" s="40">
        <v>20</v>
      </c>
      <c r="AE3" s="40">
        <v>20</v>
      </c>
      <c r="AF3" s="40">
        <v>80</v>
      </c>
      <c r="AG3" s="40">
        <v>20</v>
      </c>
      <c r="AH3" s="40">
        <v>20</v>
      </c>
      <c r="AI3" s="43">
        <v>0</v>
      </c>
      <c r="AJ3" s="44">
        <v>0</v>
      </c>
      <c r="AK3" s="40">
        <v>40</v>
      </c>
      <c r="AL3" s="40">
        <v>20</v>
      </c>
      <c r="AM3" s="43">
        <v>20</v>
      </c>
      <c r="AN3" s="45">
        <v>0</v>
      </c>
      <c r="AO3" s="45">
        <v>0</v>
      </c>
      <c r="AP3" s="40">
        <v>40</v>
      </c>
      <c r="AQ3" s="46">
        <v>998801813</v>
      </c>
      <c r="AR3" s="46">
        <v>999997030</v>
      </c>
      <c r="AS3" s="46">
        <v>0</v>
      </c>
      <c r="AT3" s="47">
        <v>0</v>
      </c>
      <c r="AU3" s="46" t="e">
        <f ca="1">SUMA(AQ3:AT3)</f>
        <v>#NAME?</v>
      </c>
      <c r="AV3" s="46">
        <v>0</v>
      </c>
      <c r="AW3" s="46">
        <v>0</v>
      </c>
      <c r="AX3" s="46">
        <v>0</v>
      </c>
      <c r="AY3" s="47">
        <v>0</v>
      </c>
      <c r="AZ3" s="48" t="e">
        <f t="shared" ref="AZ3:AZ34" ca="1" si="4">SUMA(AV3:AY3)</f>
        <v>#NAME?</v>
      </c>
      <c r="BA3" s="49"/>
      <c r="BB3" s="49"/>
      <c r="BC3" s="50" t="s">
        <v>53</v>
      </c>
      <c r="BD3" s="51"/>
    </row>
    <row r="4" spans="1:56" s="52" customFormat="1" ht="37.5" customHeight="1">
      <c r="A4" s="34">
        <v>7</v>
      </c>
      <c r="B4" s="35" t="s">
        <v>43</v>
      </c>
      <c r="C4" s="34">
        <v>1</v>
      </c>
      <c r="D4" s="113" t="s">
        <v>359</v>
      </c>
      <c r="E4" s="36" t="s">
        <v>44</v>
      </c>
      <c r="F4" s="34">
        <v>1</v>
      </c>
      <c r="G4" s="36" t="s">
        <v>45</v>
      </c>
      <c r="H4" s="37">
        <v>325</v>
      </c>
      <c r="I4" s="36" t="s">
        <v>54</v>
      </c>
      <c r="J4" s="38">
        <v>1</v>
      </c>
      <c r="K4" s="39" t="s">
        <v>55</v>
      </c>
      <c r="L4" s="38">
        <v>1243</v>
      </c>
      <c r="M4" s="39" t="s">
        <v>48</v>
      </c>
      <c r="N4" s="38">
        <v>2</v>
      </c>
      <c r="O4" s="39" t="s">
        <v>56</v>
      </c>
      <c r="P4" s="40">
        <v>16000</v>
      </c>
      <c r="Q4" s="36" t="s">
        <v>57</v>
      </c>
      <c r="R4" s="36" t="s">
        <v>58</v>
      </c>
      <c r="S4" s="39" t="s">
        <v>362</v>
      </c>
      <c r="T4" s="39" t="s">
        <v>364</v>
      </c>
      <c r="U4" s="35" t="s">
        <v>52</v>
      </c>
      <c r="V4" s="41">
        <v>1</v>
      </c>
      <c r="W4" s="42">
        <f t="shared" si="0"/>
        <v>1</v>
      </c>
      <c r="X4" s="42">
        <f t="shared" si="1"/>
        <v>1</v>
      </c>
      <c r="Y4" s="42">
        <f t="shared" si="2"/>
        <v>1.1663749999999999</v>
      </c>
      <c r="Z4" s="42">
        <f t="shared" si="3"/>
        <v>1.1663749999999999</v>
      </c>
      <c r="AA4" s="38">
        <v>959</v>
      </c>
      <c r="AB4" s="40">
        <v>4000</v>
      </c>
      <c r="AC4" s="40">
        <v>4000</v>
      </c>
      <c r="AD4" s="40">
        <v>4000</v>
      </c>
      <c r="AE4" s="40">
        <v>4000</v>
      </c>
      <c r="AF4" s="40">
        <v>16000</v>
      </c>
      <c r="AG4" s="40">
        <v>4000</v>
      </c>
      <c r="AH4" s="40">
        <v>4000</v>
      </c>
      <c r="AI4" s="43">
        <v>4000</v>
      </c>
      <c r="AJ4" s="44">
        <v>4000</v>
      </c>
      <c r="AK4" s="40">
        <v>16000</v>
      </c>
      <c r="AL4" s="40">
        <v>6602</v>
      </c>
      <c r="AM4" s="43">
        <v>4840</v>
      </c>
      <c r="AN4" s="45">
        <v>7220</v>
      </c>
      <c r="AO4" s="45">
        <v>0</v>
      </c>
      <c r="AP4" s="40">
        <v>18662</v>
      </c>
      <c r="AQ4" s="46">
        <v>800000000</v>
      </c>
      <c r="AR4" s="46">
        <v>995387500</v>
      </c>
      <c r="AS4" s="46">
        <f>952381000+36000000</f>
        <v>988381000</v>
      </c>
      <c r="AT4" s="47">
        <v>786322022</v>
      </c>
      <c r="AU4" s="46" t="e">
        <f ca="1">SUMA(AQ4:AT4)</f>
        <v>#NAME?</v>
      </c>
      <c r="AV4" s="46">
        <v>151600000</v>
      </c>
      <c r="AW4" s="46">
        <v>693594125</v>
      </c>
      <c r="AX4" s="46">
        <v>867942900</v>
      </c>
      <c r="AY4" s="47">
        <v>0</v>
      </c>
      <c r="AZ4" s="48" t="e">
        <f t="shared" ca="1" si="4"/>
        <v>#NAME?</v>
      </c>
      <c r="BA4" s="49"/>
      <c r="BB4" s="49"/>
      <c r="BC4" s="50" t="s">
        <v>53</v>
      </c>
      <c r="BD4" s="51"/>
    </row>
    <row r="5" spans="1:56" s="52" customFormat="1" ht="37.5" customHeight="1">
      <c r="A5" s="34">
        <v>7</v>
      </c>
      <c r="B5" s="35" t="s">
        <v>43</v>
      </c>
      <c r="C5" s="34">
        <v>1</v>
      </c>
      <c r="D5" s="113" t="s">
        <v>359</v>
      </c>
      <c r="E5" s="36" t="s">
        <v>44</v>
      </c>
      <c r="F5" s="34">
        <v>2</v>
      </c>
      <c r="G5" s="36" t="s">
        <v>59</v>
      </c>
      <c r="H5" s="37">
        <v>326</v>
      </c>
      <c r="I5" s="36" t="s">
        <v>60</v>
      </c>
      <c r="J5" s="38">
        <v>4</v>
      </c>
      <c r="K5" s="39" t="s">
        <v>61</v>
      </c>
      <c r="L5" s="38">
        <v>830</v>
      </c>
      <c r="M5" s="39" t="s">
        <v>62</v>
      </c>
      <c r="N5" s="38">
        <v>3</v>
      </c>
      <c r="O5" s="39" t="s">
        <v>56</v>
      </c>
      <c r="P5" s="40">
        <v>10000</v>
      </c>
      <c r="Q5" s="36" t="s">
        <v>63</v>
      </c>
      <c r="R5" s="36" t="s">
        <v>64</v>
      </c>
      <c r="S5" s="39" t="s">
        <v>365</v>
      </c>
      <c r="T5" s="39" t="s">
        <v>366</v>
      </c>
      <c r="U5" s="35" t="s">
        <v>52</v>
      </c>
      <c r="V5" s="41">
        <v>1</v>
      </c>
      <c r="W5" s="42">
        <f t="shared" si="0"/>
        <v>1.3402000000000001</v>
      </c>
      <c r="X5" s="42">
        <f t="shared" si="1"/>
        <v>1.3402000000000001</v>
      </c>
      <c r="Y5" s="42">
        <f t="shared" si="2"/>
        <v>0.80969999999999998</v>
      </c>
      <c r="Z5" s="42">
        <f t="shared" si="3"/>
        <v>0.80969999999999998</v>
      </c>
      <c r="AA5" s="38">
        <v>4176</v>
      </c>
      <c r="AB5" s="40">
        <v>2500</v>
      </c>
      <c r="AC5" s="40">
        <v>2500</v>
      </c>
      <c r="AD5" s="40">
        <v>2500</v>
      </c>
      <c r="AE5" s="40">
        <v>2500</v>
      </c>
      <c r="AF5" s="40">
        <v>10000</v>
      </c>
      <c r="AG5" s="40">
        <v>2500</v>
      </c>
      <c r="AH5" s="40">
        <v>4200</v>
      </c>
      <c r="AI5" s="43">
        <v>4800</v>
      </c>
      <c r="AJ5" s="44">
        <v>1902</v>
      </c>
      <c r="AK5" s="40">
        <v>13402</v>
      </c>
      <c r="AL5" s="40">
        <v>0</v>
      </c>
      <c r="AM5" s="53">
        <f>7121-1824</f>
        <v>5297</v>
      </c>
      <c r="AN5" s="45">
        <v>2800</v>
      </c>
      <c r="AO5" s="45">
        <v>0</v>
      </c>
      <c r="AP5" s="40">
        <v>8097</v>
      </c>
      <c r="AQ5" s="46">
        <v>862040000</v>
      </c>
      <c r="AR5" s="46">
        <v>391783909</v>
      </c>
      <c r="AS5" s="46">
        <v>350000000</v>
      </c>
      <c r="AT5" s="47">
        <f>665000000+35000000+2333333</f>
        <v>702333333</v>
      </c>
      <c r="AU5" s="46">
        <f>SUM(AQ5:AT5)</f>
        <v>2306157242</v>
      </c>
      <c r="AV5" s="46">
        <v>0</v>
      </c>
      <c r="AW5" s="46">
        <v>0</v>
      </c>
      <c r="AX5" s="46">
        <v>0</v>
      </c>
      <c r="AY5" s="47">
        <v>0</v>
      </c>
      <c r="AZ5" s="48" t="e">
        <f t="shared" ca="1" si="4"/>
        <v>#NAME?</v>
      </c>
      <c r="BA5" s="49"/>
      <c r="BB5" s="49"/>
      <c r="BC5" s="49" t="s">
        <v>65</v>
      </c>
      <c r="BD5" s="51" t="s">
        <v>66</v>
      </c>
    </row>
    <row r="6" spans="1:56" s="52" customFormat="1" ht="37.5" customHeight="1">
      <c r="A6" s="34">
        <v>7</v>
      </c>
      <c r="B6" s="35" t="s">
        <v>43</v>
      </c>
      <c r="C6" s="34">
        <v>1</v>
      </c>
      <c r="D6" s="113" t="s">
        <v>359</v>
      </c>
      <c r="E6" s="36" t="s">
        <v>44</v>
      </c>
      <c r="F6" s="34">
        <v>2</v>
      </c>
      <c r="G6" s="36" t="s">
        <v>59</v>
      </c>
      <c r="H6" s="37">
        <v>327</v>
      </c>
      <c r="I6" s="36" t="s">
        <v>67</v>
      </c>
      <c r="J6" s="38">
        <v>73</v>
      </c>
      <c r="K6" s="39" t="s">
        <v>68</v>
      </c>
      <c r="L6" s="38">
        <v>830</v>
      </c>
      <c r="M6" s="39" t="s">
        <v>62</v>
      </c>
      <c r="N6" s="38">
        <v>2</v>
      </c>
      <c r="O6" s="39" t="s">
        <v>56</v>
      </c>
      <c r="P6" s="40">
        <v>5000</v>
      </c>
      <c r="Q6" s="36" t="s">
        <v>69</v>
      </c>
      <c r="R6" s="36" t="s">
        <v>70</v>
      </c>
      <c r="S6" s="39" t="s">
        <v>365</v>
      </c>
      <c r="T6" s="39" t="s">
        <v>366</v>
      </c>
      <c r="U6" s="35" t="s">
        <v>52</v>
      </c>
      <c r="V6" s="41">
        <v>1</v>
      </c>
      <c r="W6" s="42">
        <f t="shared" si="0"/>
        <v>0.998</v>
      </c>
      <c r="X6" s="42">
        <f t="shared" si="1"/>
        <v>0.998</v>
      </c>
      <c r="Y6" s="42">
        <f t="shared" si="2"/>
        <v>0.71599999999999997</v>
      </c>
      <c r="Z6" s="42">
        <f t="shared" si="3"/>
        <v>0.71599999999999997</v>
      </c>
      <c r="AA6" s="38">
        <v>4176</v>
      </c>
      <c r="AB6" s="40">
        <v>1250</v>
      </c>
      <c r="AC6" s="40">
        <v>1250</v>
      </c>
      <c r="AD6" s="40">
        <v>1250</v>
      </c>
      <c r="AE6" s="40">
        <v>1250</v>
      </c>
      <c r="AF6" s="40">
        <v>5000</v>
      </c>
      <c r="AG6" s="40">
        <v>1250</v>
      </c>
      <c r="AH6" s="40">
        <v>1250</v>
      </c>
      <c r="AI6" s="43">
        <v>420</v>
      </c>
      <c r="AJ6" s="44">
        <f>1420+650</f>
        <v>2070</v>
      </c>
      <c r="AK6" s="40">
        <v>4990</v>
      </c>
      <c r="AL6" s="40">
        <v>1893</v>
      </c>
      <c r="AM6" s="53">
        <v>1267</v>
      </c>
      <c r="AN6" s="45">
        <v>420</v>
      </c>
      <c r="AO6" s="45">
        <v>0</v>
      </c>
      <c r="AP6" s="40">
        <v>3580</v>
      </c>
      <c r="AQ6" s="46">
        <v>414880000</v>
      </c>
      <c r="AR6" s="46">
        <v>213695080</v>
      </c>
      <c r="AS6" s="46">
        <v>141522000</v>
      </c>
      <c r="AT6" s="47">
        <f>185000000+14999893</f>
        <v>199999893</v>
      </c>
      <c r="AU6" s="46" t="e">
        <f t="shared" ref="AU6:AU37" ca="1" si="5">SUMA(AQ6:AT6)</f>
        <v>#NAME?</v>
      </c>
      <c r="AV6" s="46">
        <v>0</v>
      </c>
      <c r="AW6" s="46">
        <v>0</v>
      </c>
      <c r="AX6" s="46">
        <v>0</v>
      </c>
      <c r="AY6" s="47">
        <v>0</v>
      </c>
      <c r="AZ6" s="48" t="e">
        <f t="shared" ca="1" si="4"/>
        <v>#NAME?</v>
      </c>
      <c r="BA6" s="49"/>
      <c r="BB6" s="49"/>
      <c r="BC6" s="49" t="s">
        <v>65</v>
      </c>
      <c r="BD6" s="51"/>
    </row>
    <row r="7" spans="1:56" s="52" customFormat="1" ht="37.5" customHeight="1">
      <c r="A7" s="34">
        <v>7</v>
      </c>
      <c r="B7" s="35" t="s">
        <v>43</v>
      </c>
      <c r="C7" s="34">
        <v>1</v>
      </c>
      <c r="D7" s="113" t="s">
        <v>359</v>
      </c>
      <c r="E7" s="36" t="s">
        <v>44</v>
      </c>
      <c r="F7" s="34">
        <v>2</v>
      </c>
      <c r="G7" s="36" t="s">
        <v>59</v>
      </c>
      <c r="H7" s="37">
        <v>328</v>
      </c>
      <c r="I7" s="36" t="s">
        <v>71</v>
      </c>
      <c r="J7" s="38">
        <v>5</v>
      </c>
      <c r="K7" s="39" t="s">
        <v>72</v>
      </c>
      <c r="L7" s="38">
        <v>830</v>
      </c>
      <c r="M7" s="39" t="s">
        <v>62</v>
      </c>
      <c r="N7" s="38">
        <v>1</v>
      </c>
      <c r="O7" s="39" t="s">
        <v>73</v>
      </c>
      <c r="P7" s="40">
        <v>1800</v>
      </c>
      <c r="Q7" s="36" t="s">
        <v>63</v>
      </c>
      <c r="R7" s="36" t="s">
        <v>74</v>
      </c>
      <c r="S7" s="39" t="s">
        <v>365</v>
      </c>
      <c r="T7" s="39" t="s">
        <v>366</v>
      </c>
      <c r="U7" s="35" t="s">
        <v>52</v>
      </c>
      <c r="V7" s="41">
        <v>1</v>
      </c>
      <c r="W7" s="42">
        <f t="shared" si="0"/>
        <v>1.05</v>
      </c>
      <c r="X7" s="42">
        <f t="shared" si="1"/>
        <v>1.05</v>
      </c>
      <c r="Y7" s="42">
        <f t="shared" si="2"/>
        <v>0.65777777777777779</v>
      </c>
      <c r="Z7" s="42">
        <f t="shared" si="3"/>
        <v>0.65777777777777779</v>
      </c>
      <c r="AA7" s="38">
        <v>1626</v>
      </c>
      <c r="AB7" s="40">
        <v>450</v>
      </c>
      <c r="AC7" s="40">
        <v>450</v>
      </c>
      <c r="AD7" s="40">
        <v>450</v>
      </c>
      <c r="AE7" s="40">
        <v>450</v>
      </c>
      <c r="AF7" s="40">
        <v>1800</v>
      </c>
      <c r="AG7" s="40">
        <v>600</v>
      </c>
      <c r="AH7" s="40">
        <v>450</v>
      </c>
      <c r="AI7" s="43">
        <v>224</v>
      </c>
      <c r="AJ7" s="44">
        <v>616</v>
      </c>
      <c r="AK7" s="40">
        <v>1890</v>
      </c>
      <c r="AL7" s="53">
        <v>510</v>
      </c>
      <c r="AM7" s="53">
        <v>508</v>
      </c>
      <c r="AN7" s="45">
        <v>166</v>
      </c>
      <c r="AO7" s="45">
        <v>0</v>
      </c>
      <c r="AP7" s="40">
        <v>1184</v>
      </c>
      <c r="AQ7" s="46">
        <v>876000000</v>
      </c>
      <c r="AR7" s="46">
        <v>704200000</v>
      </c>
      <c r="AS7" s="46">
        <v>199942262</v>
      </c>
      <c r="AT7" s="47">
        <f>1140000000+60000000</f>
        <v>1200000000</v>
      </c>
      <c r="AU7" s="46" t="e">
        <f t="shared" ca="1" si="5"/>
        <v>#NAME?</v>
      </c>
      <c r="AV7" s="46">
        <v>0</v>
      </c>
      <c r="AW7" s="46">
        <v>2100000</v>
      </c>
      <c r="AX7" s="46">
        <v>0</v>
      </c>
      <c r="AY7" s="47">
        <v>0</v>
      </c>
      <c r="AZ7" s="48" t="e">
        <f t="shared" ca="1" si="4"/>
        <v>#NAME?</v>
      </c>
      <c r="BA7" s="49"/>
      <c r="BB7" s="49"/>
      <c r="BC7" s="49" t="s">
        <v>65</v>
      </c>
      <c r="BD7" s="51" t="s">
        <v>75</v>
      </c>
    </row>
    <row r="8" spans="1:56" s="52" customFormat="1" ht="37.5" customHeight="1">
      <c r="A8" s="34">
        <v>7</v>
      </c>
      <c r="B8" s="35" t="s">
        <v>43</v>
      </c>
      <c r="C8" s="34">
        <v>1</v>
      </c>
      <c r="D8" s="113" t="s">
        <v>359</v>
      </c>
      <c r="E8" s="36" t="s">
        <v>44</v>
      </c>
      <c r="F8" s="34">
        <v>2</v>
      </c>
      <c r="G8" s="36" t="s">
        <v>59</v>
      </c>
      <c r="H8" s="37">
        <v>329</v>
      </c>
      <c r="I8" s="36" t="s">
        <v>76</v>
      </c>
      <c r="J8" s="38">
        <v>4</v>
      </c>
      <c r="K8" s="39" t="s">
        <v>61</v>
      </c>
      <c r="L8" s="38">
        <v>830</v>
      </c>
      <c r="M8" s="39" t="s">
        <v>62</v>
      </c>
      <c r="N8" s="38">
        <v>4</v>
      </c>
      <c r="O8" s="39" t="s">
        <v>56</v>
      </c>
      <c r="P8" s="40">
        <v>4000</v>
      </c>
      <c r="Q8" s="36" t="s">
        <v>77</v>
      </c>
      <c r="R8" s="36" t="s">
        <v>78</v>
      </c>
      <c r="S8" s="39" t="s">
        <v>365</v>
      </c>
      <c r="T8" s="39" t="s">
        <v>366</v>
      </c>
      <c r="U8" s="35" t="s">
        <v>52</v>
      </c>
      <c r="V8" s="41">
        <v>1</v>
      </c>
      <c r="W8" s="42">
        <f t="shared" si="0"/>
        <v>1.6352500000000001</v>
      </c>
      <c r="X8" s="42">
        <f t="shared" si="1"/>
        <v>1.6352500000000001</v>
      </c>
      <c r="Y8" s="42">
        <f t="shared" si="2"/>
        <v>1.18625</v>
      </c>
      <c r="Z8" s="42">
        <f t="shared" si="3"/>
        <v>1.18625</v>
      </c>
      <c r="AA8" s="38">
        <v>0</v>
      </c>
      <c r="AB8" s="40">
        <v>1000</v>
      </c>
      <c r="AC8" s="40">
        <v>1000</v>
      </c>
      <c r="AD8" s="40">
        <v>1000</v>
      </c>
      <c r="AE8" s="40">
        <v>1000</v>
      </c>
      <c r="AF8" s="40">
        <v>4000</v>
      </c>
      <c r="AG8" s="40">
        <v>1000</v>
      </c>
      <c r="AH8" s="40">
        <v>1530</v>
      </c>
      <c r="AI8" s="43">
        <f>8811-4800</f>
        <v>4011</v>
      </c>
      <c r="AJ8" s="44">
        <v>0</v>
      </c>
      <c r="AK8" s="40">
        <v>6541</v>
      </c>
      <c r="AL8" s="40">
        <v>0</v>
      </c>
      <c r="AM8" s="53">
        <v>1935</v>
      </c>
      <c r="AN8" s="45">
        <v>2810</v>
      </c>
      <c r="AO8" s="45">
        <v>0</v>
      </c>
      <c r="AP8" s="40">
        <v>4745</v>
      </c>
      <c r="AQ8" s="46">
        <v>350000000</v>
      </c>
      <c r="AR8" s="46">
        <v>320040000</v>
      </c>
      <c r="AS8" s="46">
        <v>350000000</v>
      </c>
      <c r="AT8" s="47">
        <v>0</v>
      </c>
      <c r="AU8" s="46" t="e">
        <f t="shared" ca="1" si="5"/>
        <v>#NAME?</v>
      </c>
      <c r="AV8" s="46">
        <v>0</v>
      </c>
      <c r="AW8" s="46">
        <v>0</v>
      </c>
      <c r="AX8" s="46">
        <v>0</v>
      </c>
      <c r="AY8" s="47">
        <v>0</v>
      </c>
      <c r="AZ8" s="48" t="e">
        <f t="shared" ca="1" si="4"/>
        <v>#NAME?</v>
      </c>
      <c r="BA8" s="49"/>
      <c r="BB8" s="49"/>
      <c r="BC8" s="49" t="s">
        <v>65</v>
      </c>
      <c r="BD8" s="51" t="s">
        <v>79</v>
      </c>
    </row>
    <row r="9" spans="1:56" s="52" customFormat="1" ht="37.5" customHeight="1">
      <c r="A9" s="34">
        <v>7</v>
      </c>
      <c r="B9" s="35" t="s">
        <v>43</v>
      </c>
      <c r="C9" s="34">
        <v>1</v>
      </c>
      <c r="D9" s="113" t="s">
        <v>359</v>
      </c>
      <c r="E9" s="36" t="s">
        <v>44</v>
      </c>
      <c r="F9" s="34">
        <v>3</v>
      </c>
      <c r="G9" s="36" t="s">
        <v>80</v>
      </c>
      <c r="H9" s="37">
        <v>330</v>
      </c>
      <c r="I9" s="36" t="s">
        <v>81</v>
      </c>
      <c r="J9" s="38">
        <v>11</v>
      </c>
      <c r="K9" s="39" t="s">
        <v>82</v>
      </c>
      <c r="L9" s="38">
        <v>1007</v>
      </c>
      <c r="M9" s="39" t="s">
        <v>83</v>
      </c>
      <c r="N9" s="38">
        <v>3</v>
      </c>
      <c r="O9" s="39" t="s">
        <v>56</v>
      </c>
      <c r="P9" s="40">
        <v>300</v>
      </c>
      <c r="Q9" s="36" t="s">
        <v>63</v>
      </c>
      <c r="R9" s="36" t="s">
        <v>84</v>
      </c>
      <c r="S9" s="39" t="s">
        <v>367</v>
      </c>
      <c r="T9" s="39" t="s">
        <v>368</v>
      </c>
      <c r="U9" s="35" t="s">
        <v>85</v>
      </c>
      <c r="V9" s="41">
        <v>1</v>
      </c>
      <c r="W9" s="42">
        <f t="shared" si="0"/>
        <v>0.79166666666666663</v>
      </c>
      <c r="X9" s="42">
        <f t="shared" si="1"/>
        <v>0.79166666666666663</v>
      </c>
      <c r="Y9" s="42">
        <f t="shared" si="2"/>
        <v>0.72916666666666663</v>
      </c>
      <c r="Z9" s="42">
        <f t="shared" si="3"/>
        <v>0.72916666666666663</v>
      </c>
      <c r="AA9" s="38">
        <v>0</v>
      </c>
      <c r="AB9" s="40">
        <v>300</v>
      </c>
      <c r="AC9" s="40">
        <v>300</v>
      </c>
      <c r="AD9" s="40">
        <v>300</v>
      </c>
      <c r="AE9" s="40">
        <v>300</v>
      </c>
      <c r="AF9" s="40">
        <v>300</v>
      </c>
      <c r="AG9" s="40">
        <v>400</v>
      </c>
      <c r="AH9" s="40">
        <v>450</v>
      </c>
      <c r="AI9" s="43">
        <v>0</v>
      </c>
      <c r="AJ9" s="44">
        <v>100</v>
      </c>
      <c r="AK9" s="40">
        <v>237.5</v>
      </c>
      <c r="AL9" s="40">
        <v>425</v>
      </c>
      <c r="AM9" s="43">
        <v>450</v>
      </c>
      <c r="AN9" s="45">
        <v>0</v>
      </c>
      <c r="AO9" s="45">
        <v>0</v>
      </c>
      <c r="AP9" s="40">
        <v>218.75</v>
      </c>
      <c r="AQ9" s="46">
        <v>526000000</v>
      </c>
      <c r="AR9" s="46">
        <v>541857143</v>
      </c>
      <c r="AS9" s="46">
        <v>0</v>
      </c>
      <c r="AT9" s="47">
        <v>229785500</v>
      </c>
      <c r="AU9" s="46" t="e">
        <f t="shared" ca="1" si="5"/>
        <v>#NAME?</v>
      </c>
      <c r="AV9" s="46">
        <v>0</v>
      </c>
      <c r="AW9" s="46">
        <v>0</v>
      </c>
      <c r="AX9" s="46">
        <v>0</v>
      </c>
      <c r="AY9" s="47">
        <v>0</v>
      </c>
      <c r="AZ9" s="48" t="e">
        <f t="shared" ca="1" si="4"/>
        <v>#NAME?</v>
      </c>
      <c r="BA9" s="49"/>
      <c r="BB9" s="49"/>
      <c r="BC9" s="49" t="s">
        <v>65</v>
      </c>
      <c r="BD9" s="51"/>
    </row>
    <row r="10" spans="1:56" s="52" customFormat="1" ht="37.5" customHeight="1">
      <c r="A10" s="34">
        <v>7</v>
      </c>
      <c r="B10" s="35" t="s">
        <v>43</v>
      </c>
      <c r="C10" s="34">
        <v>1</v>
      </c>
      <c r="D10" s="113" t="s">
        <v>359</v>
      </c>
      <c r="E10" s="36" t="s">
        <v>44</v>
      </c>
      <c r="F10" s="34">
        <v>3</v>
      </c>
      <c r="G10" s="36" t="s">
        <v>80</v>
      </c>
      <c r="H10" s="37">
        <v>331</v>
      </c>
      <c r="I10" s="36" t="s">
        <v>86</v>
      </c>
      <c r="J10" s="38">
        <v>9</v>
      </c>
      <c r="K10" s="39" t="s">
        <v>87</v>
      </c>
      <c r="L10" s="38">
        <v>1007</v>
      </c>
      <c r="M10" s="39" t="s">
        <v>83</v>
      </c>
      <c r="N10" s="38">
        <v>1</v>
      </c>
      <c r="O10" s="39" t="s">
        <v>56</v>
      </c>
      <c r="P10" s="40">
        <v>58000</v>
      </c>
      <c r="Q10" s="36" t="s">
        <v>88</v>
      </c>
      <c r="R10" s="36" t="s">
        <v>89</v>
      </c>
      <c r="S10" s="39" t="s">
        <v>367</v>
      </c>
      <c r="T10" s="39" t="s">
        <v>369</v>
      </c>
      <c r="U10" s="35" t="s">
        <v>52</v>
      </c>
      <c r="V10" s="41">
        <v>1</v>
      </c>
      <c r="W10" s="42">
        <f t="shared" si="0"/>
        <v>0.91741379310344828</v>
      </c>
      <c r="X10" s="42">
        <f t="shared" si="1"/>
        <v>0.91741379310344828</v>
      </c>
      <c r="Y10" s="42">
        <f t="shared" si="2"/>
        <v>0.71051724137931038</v>
      </c>
      <c r="Z10" s="42">
        <f t="shared" si="3"/>
        <v>0.71051724137931038</v>
      </c>
      <c r="AA10" s="38">
        <v>5479</v>
      </c>
      <c r="AB10" s="40">
        <v>14500</v>
      </c>
      <c r="AC10" s="40">
        <v>14500</v>
      </c>
      <c r="AD10" s="40">
        <v>14500</v>
      </c>
      <c r="AE10" s="40">
        <v>14500</v>
      </c>
      <c r="AF10" s="40">
        <v>58000</v>
      </c>
      <c r="AG10" s="40">
        <f>21110+2100</f>
        <v>23210</v>
      </c>
      <c r="AH10" s="40">
        <v>8000</v>
      </c>
      <c r="AI10" s="43">
        <v>10000</v>
      </c>
      <c r="AJ10" s="44">
        <v>12000</v>
      </c>
      <c r="AK10" s="40">
        <v>53210</v>
      </c>
      <c r="AL10" s="40">
        <v>23210</v>
      </c>
      <c r="AM10" s="43">
        <v>8000</v>
      </c>
      <c r="AN10" s="45">
        <v>10000</v>
      </c>
      <c r="AO10" s="45">
        <v>0</v>
      </c>
      <c r="AP10" s="40">
        <v>41210</v>
      </c>
      <c r="AQ10" s="46">
        <v>1158761905</v>
      </c>
      <c r="AR10" s="46">
        <v>567300000</v>
      </c>
      <c r="AS10" s="46">
        <f>685000000+15000000</f>
        <v>700000000</v>
      </c>
      <c r="AT10" s="47">
        <v>1244299116</v>
      </c>
      <c r="AU10" s="46" t="e">
        <f t="shared" ca="1" si="5"/>
        <v>#NAME?</v>
      </c>
      <c r="AV10" s="46">
        <v>1158761905</v>
      </c>
      <c r="AW10" s="46">
        <v>510570000</v>
      </c>
      <c r="AX10" s="46">
        <f>685000000+15000000</f>
        <v>700000000</v>
      </c>
      <c r="AY10" s="47">
        <v>0</v>
      </c>
      <c r="AZ10" s="48" t="e">
        <f t="shared" ca="1" si="4"/>
        <v>#NAME?</v>
      </c>
      <c r="BA10" s="49"/>
      <c r="BB10" s="49"/>
      <c r="BC10" s="49" t="s">
        <v>65</v>
      </c>
      <c r="BD10" s="51"/>
    </row>
    <row r="11" spans="1:56" s="52" customFormat="1" ht="37.5" customHeight="1">
      <c r="A11" s="34">
        <v>7</v>
      </c>
      <c r="B11" s="35" t="s">
        <v>43</v>
      </c>
      <c r="C11" s="34">
        <v>1</v>
      </c>
      <c r="D11" s="113" t="s">
        <v>359</v>
      </c>
      <c r="E11" s="36" t="s">
        <v>44</v>
      </c>
      <c r="F11" s="34">
        <v>3</v>
      </c>
      <c r="G11" s="36" t="s">
        <v>80</v>
      </c>
      <c r="H11" s="37">
        <v>332</v>
      </c>
      <c r="I11" s="36" t="s">
        <v>90</v>
      </c>
      <c r="J11" s="38">
        <v>7</v>
      </c>
      <c r="K11" s="39" t="s">
        <v>91</v>
      </c>
      <c r="L11" s="38">
        <v>1007</v>
      </c>
      <c r="M11" s="39" t="s">
        <v>83</v>
      </c>
      <c r="N11" s="38">
        <v>2</v>
      </c>
      <c r="O11" s="39" t="s">
        <v>49</v>
      </c>
      <c r="P11" s="40">
        <v>28</v>
      </c>
      <c r="Q11" s="36" t="s">
        <v>92</v>
      </c>
      <c r="R11" s="36" t="s">
        <v>93</v>
      </c>
      <c r="S11" s="39" t="s">
        <v>367</v>
      </c>
      <c r="T11" s="39" t="s">
        <v>370</v>
      </c>
      <c r="U11" s="35" t="s">
        <v>52</v>
      </c>
      <c r="V11" s="41">
        <v>1</v>
      </c>
      <c r="W11" s="42">
        <f t="shared" si="0"/>
        <v>1.0357142857142858</v>
      </c>
      <c r="X11" s="42">
        <f t="shared" si="1"/>
        <v>1.0357142857142858</v>
      </c>
      <c r="Y11" s="42">
        <f t="shared" si="2"/>
        <v>0.75</v>
      </c>
      <c r="Z11" s="42">
        <f t="shared" si="3"/>
        <v>0.75</v>
      </c>
      <c r="AA11" s="38">
        <v>22</v>
      </c>
      <c r="AB11" s="40">
        <v>7</v>
      </c>
      <c r="AC11" s="40">
        <v>7</v>
      </c>
      <c r="AD11" s="40">
        <v>7</v>
      </c>
      <c r="AE11" s="40">
        <v>7</v>
      </c>
      <c r="AF11" s="40">
        <v>28</v>
      </c>
      <c r="AG11" s="40">
        <v>7</v>
      </c>
      <c r="AH11" s="40">
        <v>7</v>
      </c>
      <c r="AI11" s="43">
        <v>7</v>
      </c>
      <c r="AJ11" s="44">
        <v>8</v>
      </c>
      <c r="AK11" s="40">
        <v>29</v>
      </c>
      <c r="AL11" s="40">
        <v>7</v>
      </c>
      <c r="AM11" s="43">
        <v>7</v>
      </c>
      <c r="AN11" s="45">
        <v>7</v>
      </c>
      <c r="AO11" s="45">
        <v>0</v>
      </c>
      <c r="AP11" s="40">
        <v>21</v>
      </c>
      <c r="AQ11" s="46">
        <v>898039005</v>
      </c>
      <c r="AR11" s="46">
        <v>900000000</v>
      </c>
      <c r="AS11" s="46">
        <v>539966356</v>
      </c>
      <c r="AT11" s="47">
        <v>648916667</v>
      </c>
      <c r="AU11" s="46" t="e">
        <f t="shared" ca="1" si="5"/>
        <v>#NAME?</v>
      </c>
      <c r="AV11" s="46">
        <v>228786600</v>
      </c>
      <c r="AW11" s="46">
        <v>243390000</v>
      </c>
      <c r="AX11" s="46">
        <v>0</v>
      </c>
      <c r="AY11" s="47">
        <v>0</v>
      </c>
      <c r="AZ11" s="48" t="e">
        <f t="shared" ca="1" si="4"/>
        <v>#NAME?</v>
      </c>
      <c r="BA11" s="49"/>
      <c r="BB11" s="49"/>
      <c r="BC11" s="49" t="s">
        <v>65</v>
      </c>
      <c r="BD11" s="51" t="s">
        <v>94</v>
      </c>
    </row>
    <row r="12" spans="1:56" s="52" customFormat="1" ht="37.5" customHeight="1">
      <c r="A12" s="34">
        <v>7</v>
      </c>
      <c r="B12" s="35" t="s">
        <v>43</v>
      </c>
      <c r="C12" s="34">
        <v>1</v>
      </c>
      <c r="D12" s="113" t="s">
        <v>359</v>
      </c>
      <c r="E12" s="36" t="s">
        <v>44</v>
      </c>
      <c r="F12" s="34">
        <v>4</v>
      </c>
      <c r="G12" s="36" t="s">
        <v>95</v>
      </c>
      <c r="H12" s="37">
        <v>333</v>
      </c>
      <c r="I12" s="36" t="s">
        <v>96</v>
      </c>
      <c r="J12" s="38">
        <v>14</v>
      </c>
      <c r="K12" s="39" t="s">
        <v>97</v>
      </c>
      <c r="L12" s="54">
        <v>831</v>
      </c>
      <c r="M12" s="39" t="s">
        <v>98</v>
      </c>
      <c r="N12" s="38">
        <v>1</v>
      </c>
      <c r="O12" s="39" t="s">
        <v>56</v>
      </c>
      <c r="P12" s="40">
        <v>2000</v>
      </c>
      <c r="Q12" s="36" t="s">
        <v>63</v>
      </c>
      <c r="R12" s="36" t="s">
        <v>99</v>
      </c>
      <c r="S12" s="39" t="s">
        <v>371</v>
      </c>
      <c r="T12" s="39" t="s">
        <v>372</v>
      </c>
      <c r="U12" s="35" t="s">
        <v>52</v>
      </c>
      <c r="V12" s="41">
        <v>1</v>
      </c>
      <c r="W12" s="42">
        <f t="shared" si="0"/>
        <v>1.2275</v>
      </c>
      <c r="X12" s="42">
        <f t="shared" si="1"/>
        <v>1.2275</v>
      </c>
      <c r="Y12" s="42">
        <f t="shared" si="2"/>
        <v>1.1595</v>
      </c>
      <c r="Z12" s="42">
        <f t="shared" si="3"/>
        <v>1.1595</v>
      </c>
      <c r="AA12" s="38">
        <v>0</v>
      </c>
      <c r="AB12" s="40">
        <v>500</v>
      </c>
      <c r="AC12" s="40">
        <v>500</v>
      </c>
      <c r="AD12" s="40">
        <v>500</v>
      </c>
      <c r="AE12" s="40">
        <v>500</v>
      </c>
      <c r="AF12" s="40">
        <v>2000</v>
      </c>
      <c r="AG12" s="40">
        <v>410</v>
      </c>
      <c r="AH12" s="40">
        <v>520</v>
      </c>
      <c r="AI12" s="43">
        <v>925</v>
      </c>
      <c r="AJ12" s="44">
        <v>600</v>
      </c>
      <c r="AK12" s="40">
        <v>2455</v>
      </c>
      <c r="AL12" s="40">
        <v>737</v>
      </c>
      <c r="AM12" s="43">
        <v>657</v>
      </c>
      <c r="AN12" s="45">
        <v>925</v>
      </c>
      <c r="AO12" s="45">
        <v>0</v>
      </c>
      <c r="AP12" s="40">
        <v>2319</v>
      </c>
      <c r="AQ12" s="46">
        <v>175000000</v>
      </c>
      <c r="AR12" s="46">
        <v>141999997</v>
      </c>
      <c r="AS12" s="46">
        <v>60000000</v>
      </c>
      <c r="AT12" s="47">
        <v>190984872</v>
      </c>
      <c r="AU12" s="46" t="e">
        <f t="shared" ca="1" si="5"/>
        <v>#NAME?</v>
      </c>
      <c r="AV12" s="46">
        <v>0</v>
      </c>
      <c r="AW12" s="46">
        <v>0</v>
      </c>
      <c r="AX12" s="46">
        <v>60000000</v>
      </c>
      <c r="AY12" s="47">
        <v>0</v>
      </c>
      <c r="AZ12" s="48" t="e">
        <f t="shared" ca="1" si="4"/>
        <v>#NAME?</v>
      </c>
      <c r="BA12" s="49"/>
      <c r="BB12" s="49"/>
      <c r="BC12" s="49" t="s">
        <v>65</v>
      </c>
      <c r="BD12" s="51"/>
    </row>
    <row r="13" spans="1:56" s="52" customFormat="1" ht="37.5" customHeight="1">
      <c r="A13" s="34">
        <v>7</v>
      </c>
      <c r="B13" s="35" t="s">
        <v>43</v>
      </c>
      <c r="C13" s="34">
        <v>1</v>
      </c>
      <c r="D13" s="113" t="s">
        <v>359</v>
      </c>
      <c r="E13" s="36" t="s">
        <v>44</v>
      </c>
      <c r="F13" s="34">
        <v>5</v>
      </c>
      <c r="G13" s="36" t="s">
        <v>100</v>
      </c>
      <c r="H13" s="37">
        <v>334</v>
      </c>
      <c r="I13" s="36" t="s">
        <v>101</v>
      </c>
      <c r="J13" s="38">
        <v>69</v>
      </c>
      <c r="K13" s="39" t="s">
        <v>102</v>
      </c>
      <c r="L13" s="38">
        <v>832</v>
      </c>
      <c r="M13" s="39" t="s">
        <v>103</v>
      </c>
      <c r="N13" s="38">
        <v>3</v>
      </c>
      <c r="O13" s="39" t="s">
        <v>56</v>
      </c>
      <c r="P13" s="40">
        <v>800</v>
      </c>
      <c r="Q13" s="36" t="s">
        <v>63</v>
      </c>
      <c r="R13" s="36" t="s">
        <v>104</v>
      </c>
      <c r="S13" s="39" t="s">
        <v>373</v>
      </c>
      <c r="T13" s="39" t="s">
        <v>374</v>
      </c>
      <c r="U13" s="35" t="s">
        <v>52</v>
      </c>
      <c r="V13" s="41">
        <v>1</v>
      </c>
      <c r="W13" s="42">
        <f t="shared" si="0"/>
        <v>3.0437500000000002</v>
      </c>
      <c r="X13" s="42">
        <f t="shared" si="1"/>
        <v>3.0437500000000002</v>
      </c>
      <c r="Y13" s="42">
        <f t="shared" si="2"/>
        <v>1.8687499999999999</v>
      </c>
      <c r="Z13" s="42">
        <f t="shared" si="3"/>
        <v>1.8687499999999999</v>
      </c>
      <c r="AA13" s="38">
        <v>0</v>
      </c>
      <c r="AB13" s="40">
        <v>200</v>
      </c>
      <c r="AC13" s="40">
        <v>200</v>
      </c>
      <c r="AD13" s="40">
        <v>200</v>
      </c>
      <c r="AE13" s="40">
        <v>200</v>
      </c>
      <c r="AF13" s="40">
        <v>800</v>
      </c>
      <c r="AG13" s="40">
        <v>400</v>
      </c>
      <c r="AH13" s="40">
        <v>35</v>
      </c>
      <c r="AI13" s="43">
        <v>1000</v>
      </c>
      <c r="AJ13" s="44">
        <v>1000</v>
      </c>
      <c r="AK13" s="40">
        <v>2435</v>
      </c>
      <c r="AL13" s="40">
        <v>400</v>
      </c>
      <c r="AM13" s="43">
        <v>35</v>
      </c>
      <c r="AN13" s="45">
        <v>1060</v>
      </c>
      <c r="AO13" s="45">
        <v>0</v>
      </c>
      <c r="AP13" s="40">
        <v>1495</v>
      </c>
      <c r="AQ13" s="46">
        <v>66000000</v>
      </c>
      <c r="AR13" s="46">
        <v>100000000</v>
      </c>
      <c r="AS13" s="46">
        <v>79500000</v>
      </c>
      <c r="AT13" s="47">
        <v>89810000</v>
      </c>
      <c r="AU13" s="46" t="e">
        <f t="shared" ca="1" si="5"/>
        <v>#NAME?</v>
      </c>
      <c r="AV13" s="46">
        <v>0</v>
      </c>
      <c r="AW13" s="46">
        <v>0</v>
      </c>
      <c r="AX13" s="46">
        <v>79500000</v>
      </c>
      <c r="AY13" s="47">
        <v>0</v>
      </c>
      <c r="AZ13" s="48" t="e">
        <f t="shared" ca="1" si="4"/>
        <v>#NAME?</v>
      </c>
      <c r="BA13" s="49"/>
      <c r="BB13" s="49"/>
      <c r="BC13" s="49" t="s">
        <v>65</v>
      </c>
      <c r="BD13" s="51"/>
    </row>
    <row r="14" spans="1:56" s="52" customFormat="1" ht="37.5" customHeight="1">
      <c r="A14" s="34">
        <v>7</v>
      </c>
      <c r="B14" s="35" t="s">
        <v>43</v>
      </c>
      <c r="C14" s="34">
        <v>1</v>
      </c>
      <c r="D14" s="113" t="s">
        <v>359</v>
      </c>
      <c r="E14" s="36" t="s">
        <v>44</v>
      </c>
      <c r="F14" s="34">
        <v>5</v>
      </c>
      <c r="G14" s="36" t="s">
        <v>100</v>
      </c>
      <c r="H14" s="37">
        <v>335</v>
      </c>
      <c r="I14" s="36" t="s">
        <v>105</v>
      </c>
      <c r="J14" s="38">
        <v>69</v>
      </c>
      <c r="K14" s="39" t="s">
        <v>102</v>
      </c>
      <c r="L14" s="38">
        <v>832</v>
      </c>
      <c r="M14" s="39" t="s">
        <v>103</v>
      </c>
      <c r="N14" s="38">
        <v>4</v>
      </c>
      <c r="O14" s="39" t="s">
        <v>56</v>
      </c>
      <c r="P14" s="40">
        <v>4000</v>
      </c>
      <c r="Q14" s="36" t="s">
        <v>63</v>
      </c>
      <c r="R14" s="36" t="s">
        <v>106</v>
      </c>
      <c r="S14" s="39" t="s">
        <v>373</v>
      </c>
      <c r="T14" s="39" t="s">
        <v>374</v>
      </c>
      <c r="U14" s="35" t="s">
        <v>52</v>
      </c>
      <c r="V14" s="41">
        <v>1</v>
      </c>
      <c r="W14" s="42">
        <f t="shared" si="0"/>
        <v>2.35</v>
      </c>
      <c r="X14" s="42">
        <f t="shared" si="1"/>
        <v>2.35</v>
      </c>
      <c r="Y14" s="42">
        <f t="shared" si="2"/>
        <v>2.6752500000000001</v>
      </c>
      <c r="Z14" s="42">
        <f t="shared" si="3"/>
        <v>2.6752500000000001</v>
      </c>
      <c r="AA14" s="38">
        <v>0</v>
      </c>
      <c r="AB14" s="40">
        <v>1000</v>
      </c>
      <c r="AC14" s="40">
        <v>1000</v>
      </c>
      <c r="AD14" s="40">
        <v>1000</v>
      </c>
      <c r="AE14" s="40">
        <v>1000</v>
      </c>
      <c r="AF14" s="40">
        <v>4000</v>
      </c>
      <c r="AG14" s="40">
        <v>400</v>
      </c>
      <c r="AH14" s="40">
        <v>5000</v>
      </c>
      <c r="AI14" s="43">
        <f>3000</f>
        <v>3000</v>
      </c>
      <c r="AJ14" s="44">
        <v>1000</v>
      </c>
      <c r="AK14" s="40">
        <v>9400</v>
      </c>
      <c r="AL14" s="40">
        <v>400</v>
      </c>
      <c r="AM14" s="43">
        <f>1885+2225+2321+2134</f>
        <v>8565</v>
      </c>
      <c r="AN14" s="45">
        <v>1736</v>
      </c>
      <c r="AO14" s="45">
        <v>0</v>
      </c>
      <c r="AP14" s="40">
        <v>10701</v>
      </c>
      <c r="AQ14" s="46">
        <v>104088000</v>
      </c>
      <c r="AR14" s="46">
        <v>404720000</v>
      </c>
      <c r="AS14" s="46">
        <v>370000000</v>
      </c>
      <c r="AT14" s="47">
        <f>644512450+9650000</f>
        <v>654162450</v>
      </c>
      <c r="AU14" s="46" t="e">
        <f t="shared" ca="1" si="5"/>
        <v>#NAME?</v>
      </c>
      <c r="AV14" s="46">
        <v>0</v>
      </c>
      <c r="AW14" s="46">
        <v>168333360</v>
      </c>
      <c r="AX14" s="46">
        <v>53979000</v>
      </c>
      <c r="AY14" s="47">
        <v>0</v>
      </c>
      <c r="AZ14" s="48" t="e">
        <f t="shared" ca="1" si="4"/>
        <v>#NAME?</v>
      </c>
      <c r="BA14" s="49"/>
      <c r="BB14" s="49"/>
      <c r="BC14" s="49" t="s">
        <v>107</v>
      </c>
      <c r="BD14" s="51" t="s">
        <v>108</v>
      </c>
    </row>
    <row r="15" spans="1:56" s="52" customFormat="1" ht="37.5" customHeight="1">
      <c r="A15" s="34">
        <v>7</v>
      </c>
      <c r="B15" s="35" t="s">
        <v>43</v>
      </c>
      <c r="C15" s="34">
        <v>1</v>
      </c>
      <c r="D15" s="113" t="s">
        <v>359</v>
      </c>
      <c r="E15" s="36" t="s">
        <v>44</v>
      </c>
      <c r="F15" s="34">
        <v>5</v>
      </c>
      <c r="G15" s="36" t="s">
        <v>100</v>
      </c>
      <c r="H15" s="37">
        <v>336</v>
      </c>
      <c r="I15" s="36" t="s">
        <v>109</v>
      </c>
      <c r="J15" s="38">
        <v>15</v>
      </c>
      <c r="K15" s="39" t="s">
        <v>110</v>
      </c>
      <c r="L15" s="38">
        <v>832</v>
      </c>
      <c r="M15" s="39" t="s">
        <v>103</v>
      </c>
      <c r="N15" s="38">
        <v>1</v>
      </c>
      <c r="O15" s="39" t="s">
        <v>56</v>
      </c>
      <c r="P15" s="40">
        <v>4000</v>
      </c>
      <c r="Q15" s="36" t="s">
        <v>63</v>
      </c>
      <c r="R15" s="36" t="s">
        <v>111</v>
      </c>
      <c r="S15" s="39" t="s">
        <v>373</v>
      </c>
      <c r="T15" s="39" t="s">
        <v>372</v>
      </c>
      <c r="U15" s="35" t="s">
        <v>52</v>
      </c>
      <c r="V15" s="41">
        <v>1</v>
      </c>
      <c r="W15" s="42">
        <f t="shared" si="0"/>
        <v>0.83774999999999999</v>
      </c>
      <c r="X15" s="42">
        <f t="shared" si="1"/>
        <v>0.83774999999999999</v>
      </c>
      <c r="Y15" s="42">
        <f t="shared" si="2"/>
        <v>1.0782499999999999</v>
      </c>
      <c r="Z15" s="42">
        <f t="shared" si="3"/>
        <v>1.0782499999999999</v>
      </c>
      <c r="AA15" s="38">
        <v>0</v>
      </c>
      <c r="AB15" s="40">
        <v>1000</v>
      </c>
      <c r="AC15" s="40">
        <v>1000</v>
      </c>
      <c r="AD15" s="40">
        <v>1000</v>
      </c>
      <c r="AE15" s="40">
        <v>1000</v>
      </c>
      <c r="AF15" s="40">
        <v>4000</v>
      </c>
      <c r="AG15" s="40">
        <v>1000</v>
      </c>
      <c r="AH15" s="40">
        <f>1365+436</f>
        <v>1801</v>
      </c>
      <c r="AI15" s="43">
        <v>550</v>
      </c>
      <c r="AJ15" s="44">
        <v>0</v>
      </c>
      <c r="AK15" s="40">
        <v>3351</v>
      </c>
      <c r="AL15" s="40">
        <v>1996</v>
      </c>
      <c r="AM15" s="43">
        <f>1331+906</f>
        <v>2237</v>
      </c>
      <c r="AN15" s="45">
        <v>80</v>
      </c>
      <c r="AO15" s="45">
        <v>0</v>
      </c>
      <c r="AP15" s="40">
        <v>4313</v>
      </c>
      <c r="AQ15" s="46">
        <v>332171000</v>
      </c>
      <c r="AR15" s="46">
        <v>227767373</v>
      </c>
      <c r="AS15" s="46">
        <v>160790116</v>
      </c>
      <c r="AT15" s="47">
        <v>0</v>
      </c>
      <c r="AU15" s="46" t="e">
        <f t="shared" ca="1" si="5"/>
        <v>#NAME?</v>
      </c>
      <c r="AV15" s="46">
        <v>0</v>
      </c>
      <c r="AW15" s="46">
        <v>10471874</v>
      </c>
      <c r="AX15" s="46">
        <v>0</v>
      </c>
      <c r="AY15" s="47">
        <v>0</v>
      </c>
      <c r="AZ15" s="48" t="e">
        <f t="shared" ca="1" si="4"/>
        <v>#NAME?</v>
      </c>
      <c r="BA15" s="49"/>
      <c r="BB15" s="49"/>
      <c r="BC15" s="49" t="s">
        <v>65</v>
      </c>
      <c r="BD15" s="51" t="s">
        <v>112</v>
      </c>
    </row>
    <row r="16" spans="1:56" s="52" customFormat="1" ht="37.5" customHeight="1">
      <c r="A16" s="34">
        <v>7</v>
      </c>
      <c r="B16" s="35" t="s">
        <v>43</v>
      </c>
      <c r="C16" s="34">
        <v>1</v>
      </c>
      <c r="D16" s="113" t="s">
        <v>359</v>
      </c>
      <c r="E16" s="36" t="s">
        <v>44</v>
      </c>
      <c r="F16" s="34">
        <v>5</v>
      </c>
      <c r="G16" s="36" t="s">
        <v>100</v>
      </c>
      <c r="H16" s="37">
        <v>337</v>
      </c>
      <c r="I16" s="36" t="s">
        <v>113</v>
      </c>
      <c r="J16" s="38">
        <v>18</v>
      </c>
      <c r="K16" s="39" t="s">
        <v>114</v>
      </c>
      <c r="L16" s="38">
        <v>832</v>
      </c>
      <c r="M16" s="39" t="s">
        <v>103</v>
      </c>
      <c r="N16" s="38">
        <v>5</v>
      </c>
      <c r="O16" s="39" t="s">
        <v>115</v>
      </c>
      <c r="P16" s="40">
        <v>40</v>
      </c>
      <c r="Q16" s="36" t="s">
        <v>116</v>
      </c>
      <c r="R16" s="36" t="s">
        <v>117</v>
      </c>
      <c r="S16" s="39" t="s">
        <v>362</v>
      </c>
      <c r="T16" s="39" t="s">
        <v>375</v>
      </c>
      <c r="U16" s="35" t="s">
        <v>52</v>
      </c>
      <c r="V16" s="41">
        <v>1</v>
      </c>
      <c r="W16" s="42">
        <f t="shared" si="0"/>
        <v>1</v>
      </c>
      <c r="X16" s="42">
        <f t="shared" si="1"/>
        <v>1</v>
      </c>
      <c r="Y16" s="42">
        <f t="shared" si="2"/>
        <v>1</v>
      </c>
      <c r="Z16" s="42">
        <f t="shared" si="3"/>
        <v>1</v>
      </c>
      <c r="AA16" s="38">
        <v>0</v>
      </c>
      <c r="AB16" s="40">
        <v>10</v>
      </c>
      <c r="AC16" s="40">
        <v>10</v>
      </c>
      <c r="AD16" s="40">
        <v>10</v>
      </c>
      <c r="AE16" s="40">
        <v>10</v>
      </c>
      <c r="AF16" s="40">
        <v>40</v>
      </c>
      <c r="AG16" s="40">
        <v>10</v>
      </c>
      <c r="AH16" s="40">
        <v>20</v>
      </c>
      <c r="AI16" s="43">
        <v>10</v>
      </c>
      <c r="AJ16" s="44">
        <v>0</v>
      </c>
      <c r="AK16" s="40">
        <v>40</v>
      </c>
      <c r="AL16" s="40">
        <v>10</v>
      </c>
      <c r="AM16" s="43">
        <v>20</v>
      </c>
      <c r="AN16" s="45">
        <v>10</v>
      </c>
      <c r="AO16" s="45">
        <v>0</v>
      </c>
      <c r="AP16" s="40">
        <v>40</v>
      </c>
      <c r="AQ16" s="46">
        <v>196000000</v>
      </c>
      <c r="AR16" s="46">
        <v>230000000</v>
      </c>
      <c r="AS16" s="46">
        <v>107000000</v>
      </c>
      <c r="AT16" s="47">
        <v>0</v>
      </c>
      <c r="AU16" s="46" t="e">
        <f t="shared" ca="1" si="5"/>
        <v>#NAME?</v>
      </c>
      <c r="AV16" s="46">
        <v>0</v>
      </c>
      <c r="AW16" s="46">
        <v>0</v>
      </c>
      <c r="AX16" s="46">
        <v>0</v>
      </c>
      <c r="AY16" s="47">
        <v>0</v>
      </c>
      <c r="AZ16" s="48" t="e">
        <f t="shared" ca="1" si="4"/>
        <v>#NAME?</v>
      </c>
      <c r="BA16" s="49"/>
      <c r="BB16" s="49"/>
      <c r="BC16" s="49" t="s">
        <v>65</v>
      </c>
      <c r="BD16" s="51" t="s">
        <v>118</v>
      </c>
    </row>
    <row r="17" spans="1:56" s="52" customFormat="1" ht="37.5" customHeight="1">
      <c r="A17" s="34">
        <v>7</v>
      </c>
      <c r="B17" s="35" t="s">
        <v>43</v>
      </c>
      <c r="C17" s="34">
        <v>1</v>
      </c>
      <c r="D17" s="113" t="s">
        <v>359</v>
      </c>
      <c r="E17" s="36" t="s">
        <v>44</v>
      </c>
      <c r="F17" s="34">
        <v>5</v>
      </c>
      <c r="G17" s="36" t="s">
        <v>100</v>
      </c>
      <c r="H17" s="37">
        <v>339</v>
      </c>
      <c r="I17" s="36" t="s">
        <v>119</v>
      </c>
      <c r="J17" s="38">
        <v>15</v>
      </c>
      <c r="K17" s="39" t="s">
        <v>110</v>
      </c>
      <c r="L17" s="38">
        <v>832</v>
      </c>
      <c r="M17" s="39" t="s">
        <v>103</v>
      </c>
      <c r="N17" s="38">
        <v>2</v>
      </c>
      <c r="O17" s="39" t="s">
        <v>56</v>
      </c>
      <c r="P17" s="40">
        <v>1600</v>
      </c>
      <c r="Q17" s="36" t="s">
        <v>63</v>
      </c>
      <c r="R17" s="36" t="s">
        <v>120</v>
      </c>
      <c r="S17" s="39" t="s">
        <v>373</v>
      </c>
      <c r="T17" s="39" t="s">
        <v>372</v>
      </c>
      <c r="U17" s="35" t="s">
        <v>52</v>
      </c>
      <c r="V17" s="41">
        <v>1</v>
      </c>
      <c r="W17" s="42">
        <f t="shared" si="0"/>
        <v>1.12625</v>
      </c>
      <c r="X17" s="42">
        <f t="shared" si="1"/>
        <v>1.12625</v>
      </c>
      <c r="Y17" s="42">
        <f t="shared" si="2"/>
        <v>1.1481250000000001</v>
      </c>
      <c r="Z17" s="42">
        <f t="shared" si="3"/>
        <v>1.1481250000000001</v>
      </c>
      <c r="AA17" s="38">
        <v>0</v>
      </c>
      <c r="AB17" s="40">
        <v>400</v>
      </c>
      <c r="AC17" s="40">
        <v>400</v>
      </c>
      <c r="AD17" s="40">
        <v>400</v>
      </c>
      <c r="AE17" s="40">
        <v>400</v>
      </c>
      <c r="AF17" s="40">
        <v>1600</v>
      </c>
      <c r="AG17" s="40">
        <v>400</v>
      </c>
      <c r="AH17" s="40">
        <v>1002</v>
      </c>
      <c r="AI17" s="43">
        <v>0</v>
      </c>
      <c r="AJ17" s="44">
        <v>400</v>
      </c>
      <c r="AK17" s="40">
        <v>1802</v>
      </c>
      <c r="AL17" s="40">
        <v>410</v>
      </c>
      <c r="AM17" s="43">
        <v>1427</v>
      </c>
      <c r="AN17" s="45">
        <v>0</v>
      </c>
      <c r="AO17" s="45">
        <v>0</v>
      </c>
      <c r="AP17" s="40">
        <v>1837</v>
      </c>
      <c r="AQ17" s="46">
        <v>139810000</v>
      </c>
      <c r="AR17" s="46">
        <v>143341819</v>
      </c>
      <c r="AS17" s="46">
        <v>0</v>
      </c>
      <c r="AT17" s="47">
        <v>171755000</v>
      </c>
      <c r="AU17" s="46" t="e">
        <f t="shared" ca="1" si="5"/>
        <v>#NAME?</v>
      </c>
      <c r="AV17" s="46">
        <v>0</v>
      </c>
      <c r="AW17" s="46">
        <v>0</v>
      </c>
      <c r="AX17" s="46">
        <v>0</v>
      </c>
      <c r="AY17" s="47">
        <v>0</v>
      </c>
      <c r="AZ17" s="48" t="e">
        <f t="shared" ca="1" si="4"/>
        <v>#NAME?</v>
      </c>
      <c r="BA17" s="49"/>
      <c r="BB17" s="49"/>
      <c r="BC17" s="49" t="s">
        <v>65</v>
      </c>
      <c r="BD17" s="51"/>
    </row>
    <row r="18" spans="1:56" s="52" customFormat="1" ht="37.5" customHeight="1">
      <c r="A18" s="34">
        <v>7</v>
      </c>
      <c r="B18" s="35" t="s">
        <v>43</v>
      </c>
      <c r="C18" s="34">
        <v>1</v>
      </c>
      <c r="D18" s="113" t="s">
        <v>359</v>
      </c>
      <c r="E18" s="36" t="s">
        <v>44</v>
      </c>
      <c r="F18" s="34">
        <v>5</v>
      </c>
      <c r="G18" s="36" t="s">
        <v>100</v>
      </c>
      <c r="H18" s="37">
        <v>338</v>
      </c>
      <c r="I18" s="36" t="s">
        <v>121</v>
      </c>
      <c r="J18" s="38">
        <v>19</v>
      </c>
      <c r="K18" s="39" t="s">
        <v>122</v>
      </c>
      <c r="L18" s="38">
        <v>835</v>
      </c>
      <c r="M18" s="39" t="s">
        <v>123</v>
      </c>
      <c r="N18" s="38">
        <v>1</v>
      </c>
      <c r="O18" s="39" t="s">
        <v>124</v>
      </c>
      <c r="P18" s="40">
        <v>8000</v>
      </c>
      <c r="Q18" s="36" t="s">
        <v>125</v>
      </c>
      <c r="R18" s="36" t="s">
        <v>126</v>
      </c>
      <c r="S18" s="39" t="s">
        <v>362</v>
      </c>
      <c r="T18" s="39" t="s">
        <v>375</v>
      </c>
      <c r="U18" s="35" t="s">
        <v>52</v>
      </c>
      <c r="V18" s="41">
        <v>1</v>
      </c>
      <c r="W18" s="42">
        <f t="shared" si="0"/>
        <v>1.7849999999999999</v>
      </c>
      <c r="X18" s="42">
        <f t="shared" si="1"/>
        <v>1.7849999999999999</v>
      </c>
      <c r="Y18" s="42">
        <f t="shared" si="2"/>
        <v>1.7849999999999999</v>
      </c>
      <c r="Z18" s="42">
        <f t="shared" si="3"/>
        <v>1.7849999999999999</v>
      </c>
      <c r="AA18" s="38">
        <v>2000</v>
      </c>
      <c r="AB18" s="40">
        <v>2000</v>
      </c>
      <c r="AC18" s="40">
        <v>2000</v>
      </c>
      <c r="AD18" s="40">
        <v>2000</v>
      </c>
      <c r="AE18" s="40">
        <v>2000</v>
      </c>
      <c r="AF18" s="40">
        <v>8000</v>
      </c>
      <c r="AG18" s="40">
        <v>2270</v>
      </c>
      <c r="AH18" s="40">
        <v>2670</v>
      </c>
      <c r="AI18" s="43">
        <f>2670+2000</f>
        <v>4670</v>
      </c>
      <c r="AJ18" s="44">
        <v>4670</v>
      </c>
      <c r="AK18" s="40">
        <v>14280</v>
      </c>
      <c r="AL18" s="40">
        <v>2270</v>
      </c>
      <c r="AM18" s="43">
        <v>2670</v>
      </c>
      <c r="AN18" s="45">
        <f>2670+2000</f>
        <v>4670</v>
      </c>
      <c r="AO18" s="45">
        <v>4670</v>
      </c>
      <c r="AP18" s="40">
        <v>14280</v>
      </c>
      <c r="AQ18" s="46">
        <v>2966400000</v>
      </c>
      <c r="AR18" s="46">
        <v>4077147262</v>
      </c>
      <c r="AS18" s="46">
        <f>7256243333</f>
        <v>7256243333</v>
      </c>
      <c r="AT18" s="47">
        <v>11057902059</v>
      </c>
      <c r="AU18" s="46" t="e">
        <f t="shared" ca="1" si="5"/>
        <v>#NAME?</v>
      </c>
      <c r="AV18" s="46">
        <v>2326200000</v>
      </c>
      <c r="AW18" s="46">
        <v>3009423017</v>
      </c>
      <c r="AX18" s="46">
        <v>4162410916</v>
      </c>
      <c r="AY18" s="47">
        <v>4162085905</v>
      </c>
      <c r="AZ18" s="48" t="e">
        <f t="shared" ca="1" si="4"/>
        <v>#NAME?</v>
      </c>
      <c r="BA18" s="49"/>
      <c r="BB18" s="49"/>
      <c r="BC18" s="49" t="s">
        <v>127</v>
      </c>
      <c r="BD18" s="51"/>
    </row>
    <row r="19" spans="1:56" s="52" customFormat="1" ht="37.5" customHeight="1">
      <c r="A19" s="34">
        <v>7</v>
      </c>
      <c r="B19" s="35" t="s">
        <v>43</v>
      </c>
      <c r="C19" s="34">
        <v>1</v>
      </c>
      <c r="D19" s="113" t="s">
        <v>359</v>
      </c>
      <c r="E19" s="36" t="s">
        <v>44</v>
      </c>
      <c r="F19" s="34">
        <v>7</v>
      </c>
      <c r="G19" s="36" t="s">
        <v>128</v>
      </c>
      <c r="H19" s="37">
        <v>340</v>
      </c>
      <c r="I19" s="36" t="s">
        <v>129</v>
      </c>
      <c r="J19" s="38">
        <v>21</v>
      </c>
      <c r="K19" s="39" t="s">
        <v>130</v>
      </c>
      <c r="L19" s="38">
        <v>836</v>
      </c>
      <c r="M19" s="39" t="s">
        <v>131</v>
      </c>
      <c r="N19" s="38">
        <v>1</v>
      </c>
      <c r="O19" s="39" t="s">
        <v>56</v>
      </c>
      <c r="P19" s="40">
        <v>2000</v>
      </c>
      <c r="Q19" s="36" t="s">
        <v>63</v>
      </c>
      <c r="R19" s="36" t="s">
        <v>132</v>
      </c>
      <c r="S19" s="39" t="s">
        <v>373</v>
      </c>
      <c r="T19" s="39" t="s">
        <v>374</v>
      </c>
      <c r="U19" s="35" t="s">
        <v>52</v>
      </c>
      <c r="V19" s="41">
        <v>1</v>
      </c>
      <c r="W19" s="42">
        <f t="shared" si="0"/>
        <v>5.8</v>
      </c>
      <c r="X19" s="42">
        <f t="shared" si="1"/>
        <v>5.8</v>
      </c>
      <c r="Y19" s="42">
        <f t="shared" si="2"/>
        <v>9.3904999999999994</v>
      </c>
      <c r="Z19" s="42">
        <f t="shared" si="3"/>
        <v>9.3904999999999994</v>
      </c>
      <c r="AA19" s="38">
        <v>0</v>
      </c>
      <c r="AB19" s="40">
        <v>500</v>
      </c>
      <c r="AC19" s="40">
        <v>500</v>
      </c>
      <c r="AD19" s="40">
        <v>500</v>
      </c>
      <c r="AE19" s="40">
        <v>500</v>
      </c>
      <c r="AF19" s="40">
        <v>2000</v>
      </c>
      <c r="AG19" s="40">
        <v>600</v>
      </c>
      <c r="AH19" s="40">
        <f>5000+1000+1500</f>
        <v>7500</v>
      </c>
      <c r="AI19" s="43">
        <f>3000+500</f>
        <v>3500</v>
      </c>
      <c r="AJ19" s="44">
        <v>0</v>
      </c>
      <c r="AK19" s="40">
        <v>11600</v>
      </c>
      <c r="AL19" s="40">
        <f>700+350+600</f>
        <v>1650</v>
      </c>
      <c r="AM19" s="43">
        <f>1885+1000+2225+2321+2400+2134</f>
        <v>11965</v>
      </c>
      <c r="AN19" s="45">
        <f>3000+750+1416</f>
        <v>5166</v>
      </c>
      <c r="AO19" s="45">
        <v>0</v>
      </c>
      <c r="AP19" s="40">
        <v>18781</v>
      </c>
      <c r="AQ19" s="46">
        <v>90619166</v>
      </c>
      <c r="AR19" s="46">
        <v>671193571</v>
      </c>
      <c r="AS19" s="46">
        <f>294703482/3</f>
        <v>98234494</v>
      </c>
      <c r="AT19" s="47">
        <v>0</v>
      </c>
      <c r="AU19" s="46" t="e">
        <f t="shared" ca="1" si="5"/>
        <v>#NAME?</v>
      </c>
      <c r="AV19" s="46">
        <v>0</v>
      </c>
      <c r="AW19" s="46">
        <v>270302640</v>
      </c>
      <c r="AX19" s="46">
        <v>96901161</v>
      </c>
      <c r="AY19" s="47">
        <v>0</v>
      </c>
      <c r="AZ19" s="48" t="e">
        <f t="shared" ca="1" si="4"/>
        <v>#NAME?</v>
      </c>
      <c r="BA19" s="49"/>
      <c r="BB19" s="49"/>
      <c r="BC19" s="49" t="s">
        <v>107</v>
      </c>
      <c r="BD19" s="51"/>
    </row>
    <row r="20" spans="1:56" s="52" customFormat="1" ht="37.5" customHeight="1">
      <c r="A20" s="34">
        <v>7</v>
      </c>
      <c r="B20" s="35" t="s">
        <v>43</v>
      </c>
      <c r="C20" s="34">
        <v>1</v>
      </c>
      <c r="D20" s="113" t="s">
        <v>359</v>
      </c>
      <c r="E20" s="36" t="s">
        <v>44</v>
      </c>
      <c r="F20" s="34">
        <v>7</v>
      </c>
      <c r="G20" s="36" t="s">
        <v>128</v>
      </c>
      <c r="H20" s="37">
        <v>341</v>
      </c>
      <c r="I20" s="36" t="s">
        <v>133</v>
      </c>
      <c r="J20" s="38">
        <v>21</v>
      </c>
      <c r="K20" s="39" t="s">
        <v>130</v>
      </c>
      <c r="L20" s="38">
        <v>836</v>
      </c>
      <c r="M20" s="39" t="s">
        <v>131</v>
      </c>
      <c r="N20" s="38">
        <v>2</v>
      </c>
      <c r="O20" s="39" t="s">
        <v>134</v>
      </c>
      <c r="P20" s="40">
        <v>1000</v>
      </c>
      <c r="Q20" s="36" t="s">
        <v>63</v>
      </c>
      <c r="R20" s="36" t="s">
        <v>135</v>
      </c>
      <c r="S20" s="39" t="s">
        <v>373</v>
      </c>
      <c r="T20" s="39" t="s">
        <v>374</v>
      </c>
      <c r="U20" s="35" t="s">
        <v>52</v>
      </c>
      <c r="V20" s="41">
        <v>1</v>
      </c>
      <c r="W20" s="42">
        <f t="shared" si="0"/>
        <v>3</v>
      </c>
      <c r="X20" s="42">
        <f t="shared" si="1"/>
        <v>3</v>
      </c>
      <c r="Y20" s="42">
        <f t="shared" si="2"/>
        <v>6.3710000000000004</v>
      </c>
      <c r="Z20" s="42">
        <f t="shared" si="3"/>
        <v>6.3710000000000004</v>
      </c>
      <c r="AA20" s="38">
        <v>0</v>
      </c>
      <c r="AB20" s="40">
        <v>250</v>
      </c>
      <c r="AC20" s="40">
        <v>250</v>
      </c>
      <c r="AD20" s="40">
        <v>250</v>
      </c>
      <c r="AE20" s="40">
        <v>250</v>
      </c>
      <c r="AF20" s="40">
        <v>1000</v>
      </c>
      <c r="AG20" s="40">
        <v>250</v>
      </c>
      <c r="AH20" s="40">
        <f>1000+1500</f>
        <v>2500</v>
      </c>
      <c r="AI20" s="43">
        <v>250</v>
      </c>
      <c r="AJ20" s="44">
        <v>0</v>
      </c>
      <c r="AK20" s="40">
        <v>3000</v>
      </c>
      <c r="AL20" s="40">
        <f>700+1521</f>
        <v>2221</v>
      </c>
      <c r="AM20" s="43">
        <f>1000+2400</f>
        <v>3400</v>
      </c>
      <c r="AN20" s="45">
        <v>750</v>
      </c>
      <c r="AO20" s="45">
        <v>0</v>
      </c>
      <c r="AP20" s="40">
        <v>6371</v>
      </c>
      <c r="AQ20" s="46">
        <v>88000000</v>
      </c>
      <c r="AR20" s="46">
        <v>331101570</v>
      </c>
      <c r="AS20" s="46">
        <v>98234494</v>
      </c>
      <c r="AT20" s="47">
        <v>0</v>
      </c>
      <c r="AU20" s="46" t="e">
        <f t="shared" ca="1" si="5"/>
        <v>#NAME?</v>
      </c>
      <c r="AV20" s="46">
        <v>0</v>
      </c>
      <c r="AW20" s="46">
        <v>2944000</v>
      </c>
      <c r="AX20" s="46">
        <v>96901161</v>
      </c>
      <c r="AY20" s="47">
        <v>0</v>
      </c>
      <c r="AZ20" s="48" t="e">
        <f t="shared" ca="1" si="4"/>
        <v>#NAME?</v>
      </c>
      <c r="BA20" s="55"/>
      <c r="BB20" s="55"/>
      <c r="BC20" s="55" t="s">
        <v>107</v>
      </c>
      <c r="BD20" s="51"/>
    </row>
    <row r="21" spans="1:56" s="52" customFormat="1" ht="37.5" customHeight="1">
      <c r="A21" s="34">
        <v>7</v>
      </c>
      <c r="B21" s="35" t="s">
        <v>43</v>
      </c>
      <c r="C21" s="34">
        <v>1</v>
      </c>
      <c r="D21" s="113" t="s">
        <v>359</v>
      </c>
      <c r="E21" s="36" t="s">
        <v>44</v>
      </c>
      <c r="F21" s="34">
        <v>7</v>
      </c>
      <c r="G21" s="36" t="s">
        <v>128</v>
      </c>
      <c r="H21" s="37">
        <v>342</v>
      </c>
      <c r="I21" s="36" t="s">
        <v>136</v>
      </c>
      <c r="J21" s="38">
        <v>22</v>
      </c>
      <c r="K21" s="39" t="s">
        <v>137</v>
      </c>
      <c r="L21" s="38">
        <v>836</v>
      </c>
      <c r="M21" s="39" t="s">
        <v>131</v>
      </c>
      <c r="N21" s="38">
        <v>3</v>
      </c>
      <c r="O21" s="39" t="s">
        <v>56</v>
      </c>
      <c r="P21" s="40">
        <v>1000</v>
      </c>
      <c r="Q21" s="36" t="s">
        <v>63</v>
      </c>
      <c r="R21" s="36" t="s">
        <v>138</v>
      </c>
      <c r="S21" s="56" t="s">
        <v>373</v>
      </c>
      <c r="T21" s="57" t="s">
        <v>374</v>
      </c>
      <c r="U21" s="58" t="s">
        <v>52</v>
      </c>
      <c r="V21" s="59">
        <v>1</v>
      </c>
      <c r="W21" s="60">
        <f t="shared" si="0"/>
        <v>3.25</v>
      </c>
      <c r="X21" s="60">
        <f t="shared" si="1"/>
        <v>3.25</v>
      </c>
      <c r="Y21" s="60">
        <f t="shared" si="2"/>
        <v>8.2460000000000004</v>
      </c>
      <c r="Z21" s="60">
        <f t="shared" si="3"/>
        <v>8.2460000000000004</v>
      </c>
      <c r="AA21" s="61">
        <v>0</v>
      </c>
      <c r="AB21" s="62">
        <v>250</v>
      </c>
      <c r="AC21" s="62">
        <v>250</v>
      </c>
      <c r="AD21" s="62">
        <v>250</v>
      </c>
      <c r="AE21" s="62">
        <v>250</v>
      </c>
      <c r="AF21" s="62">
        <v>1000</v>
      </c>
      <c r="AG21" s="62">
        <v>250</v>
      </c>
      <c r="AH21" s="62">
        <f>1000+1500</f>
        <v>2500</v>
      </c>
      <c r="AI21" s="63">
        <v>500</v>
      </c>
      <c r="AJ21" s="64">
        <v>0</v>
      </c>
      <c r="AK21" s="62">
        <v>3250</v>
      </c>
      <c r="AL21" s="65">
        <f>700+350+1716</f>
        <v>2766</v>
      </c>
      <c r="AM21" s="63">
        <f>1500+2400</f>
        <v>3900</v>
      </c>
      <c r="AN21" s="64">
        <v>1580</v>
      </c>
      <c r="AO21" s="66">
        <v>0</v>
      </c>
      <c r="AP21" s="62">
        <v>8246</v>
      </c>
      <c r="AQ21" s="49">
        <v>100000000</v>
      </c>
      <c r="AR21" s="49">
        <v>331377570</v>
      </c>
      <c r="AS21" s="46">
        <v>98234494</v>
      </c>
      <c r="AT21" s="67">
        <v>0</v>
      </c>
      <c r="AU21" s="49" t="e">
        <f t="shared" ca="1" si="5"/>
        <v>#NAME?</v>
      </c>
      <c r="AV21" s="49">
        <v>0</v>
      </c>
      <c r="AW21" s="49">
        <v>3220000</v>
      </c>
      <c r="AX21" s="46">
        <v>96901160</v>
      </c>
      <c r="AY21" s="67">
        <v>0</v>
      </c>
      <c r="AZ21" s="49" t="e">
        <f t="shared" ca="1" si="4"/>
        <v>#NAME?</v>
      </c>
      <c r="BA21" s="49"/>
      <c r="BB21" s="49"/>
      <c r="BC21" s="49" t="s">
        <v>107</v>
      </c>
      <c r="BD21" s="68"/>
    </row>
    <row r="22" spans="1:56" s="52" customFormat="1" ht="37.5" customHeight="1">
      <c r="A22" s="34">
        <v>7</v>
      </c>
      <c r="B22" s="35" t="s">
        <v>43</v>
      </c>
      <c r="C22" s="34">
        <v>1</v>
      </c>
      <c r="D22" s="113" t="s">
        <v>359</v>
      </c>
      <c r="E22" s="36" t="s">
        <v>44</v>
      </c>
      <c r="F22" s="34">
        <v>8</v>
      </c>
      <c r="G22" s="36" t="s">
        <v>139</v>
      </c>
      <c r="H22" s="37">
        <v>343</v>
      </c>
      <c r="I22" s="36" t="s">
        <v>140</v>
      </c>
      <c r="J22" s="38">
        <v>23</v>
      </c>
      <c r="K22" s="39" t="s">
        <v>141</v>
      </c>
      <c r="L22" s="38">
        <v>837</v>
      </c>
      <c r="M22" s="39" t="s">
        <v>142</v>
      </c>
      <c r="N22" s="38">
        <v>1</v>
      </c>
      <c r="O22" s="39" t="s">
        <v>143</v>
      </c>
      <c r="P22" s="40">
        <v>64</v>
      </c>
      <c r="Q22" s="36" t="s">
        <v>144</v>
      </c>
      <c r="R22" s="36" t="s">
        <v>145</v>
      </c>
      <c r="S22" s="39" t="s">
        <v>376</v>
      </c>
      <c r="T22" s="69" t="s">
        <v>377</v>
      </c>
      <c r="U22" s="70" t="s">
        <v>52</v>
      </c>
      <c r="V22" s="71">
        <v>1</v>
      </c>
      <c r="W22" s="72">
        <f t="shared" si="0"/>
        <v>0.859375</v>
      </c>
      <c r="X22" s="72">
        <f t="shared" si="1"/>
        <v>0.859375</v>
      </c>
      <c r="Y22" s="72">
        <f t="shared" si="2"/>
        <v>0.71875</v>
      </c>
      <c r="Z22" s="72">
        <f t="shared" si="3"/>
        <v>0.71875</v>
      </c>
      <c r="AA22" s="73">
        <v>20</v>
      </c>
      <c r="AB22" s="74">
        <v>16</v>
      </c>
      <c r="AC22" s="74">
        <v>16</v>
      </c>
      <c r="AD22" s="74">
        <v>16</v>
      </c>
      <c r="AE22" s="74">
        <v>16</v>
      </c>
      <c r="AF22" s="74">
        <v>64</v>
      </c>
      <c r="AG22" s="74">
        <v>11</v>
      </c>
      <c r="AH22" s="74">
        <v>15</v>
      </c>
      <c r="AI22" s="75">
        <v>18</v>
      </c>
      <c r="AJ22" s="76">
        <v>11</v>
      </c>
      <c r="AK22" s="74">
        <v>55</v>
      </c>
      <c r="AL22" s="77">
        <v>11</v>
      </c>
      <c r="AM22" s="63">
        <v>15</v>
      </c>
      <c r="AN22" s="64">
        <v>18</v>
      </c>
      <c r="AO22" s="78">
        <v>2</v>
      </c>
      <c r="AP22" s="74">
        <v>46</v>
      </c>
      <c r="AQ22" s="79">
        <v>863305000</v>
      </c>
      <c r="AR22" s="79">
        <v>1091220554</v>
      </c>
      <c r="AS22" s="79">
        <v>1296755993</v>
      </c>
      <c r="AT22" s="80">
        <v>899201162</v>
      </c>
      <c r="AU22" s="79" t="e">
        <f t="shared" ca="1" si="5"/>
        <v>#NAME?</v>
      </c>
      <c r="AV22" s="79">
        <v>157787500</v>
      </c>
      <c r="AW22" s="79">
        <v>704312737</v>
      </c>
      <c r="AX22" s="79">
        <v>644055847</v>
      </c>
      <c r="AY22" s="80">
        <v>0</v>
      </c>
      <c r="AZ22" s="81" t="e">
        <f t="shared" ca="1" si="4"/>
        <v>#NAME?</v>
      </c>
      <c r="BA22" s="82"/>
      <c r="BB22" s="82"/>
      <c r="BC22" s="82" t="s">
        <v>146</v>
      </c>
      <c r="BD22" s="51" t="s">
        <v>147</v>
      </c>
    </row>
    <row r="23" spans="1:56" s="52" customFormat="1" ht="37.5" customHeight="1">
      <c r="A23" s="34">
        <v>7</v>
      </c>
      <c r="B23" s="35" t="s">
        <v>43</v>
      </c>
      <c r="C23" s="34">
        <v>1</v>
      </c>
      <c r="D23" s="113" t="s">
        <v>359</v>
      </c>
      <c r="E23" s="36" t="s">
        <v>44</v>
      </c>
      <c r="F23" s="34">
        <v>8</v>
      </c>
      <c r="G23" s="36" t="s">
        <v>139</v>
      </c>
      <c r="H23" s="37">
        <v>344</v>
      </c>
      <c r="I23" s="36" t="s">
        <v>148</v>
      </c>
      <c r="J23" s="38">
        <v>25</v>
      </c>
      <c r="K23" s="39" t="s">
        <v>149</v>
      </c>
      <c r="L23" s="38">
        <v>837</v>
      </c>
      <c r="M23" s="39" t="s">
        <v>142</v>
      </c>
      <c r="N23" s="38">
        <v>2</v>
      </c>
      <c r="O23" s="39" t="s">
        <v>150</v>
      </c>
      <c r="P23" s="40">
        <v>300</v>
      </c>
      <c r="Q23" s="36" t="s">
        <v>63</v>
      </c>
      <c r="R23" s="36" t="s">
        <v>151</v>
      </c>
      <c r="S23" s="39" t="s">
        <v>376</v>
      </c>
      <c r="T23" s="39" t="s">
        <v>378</v>
      </c>
      <c r="U23" s="35" t="s">
        <v>85</v>
      </c>
      <c r="V23" s="41">
        <v>1</v>
      </c>
      <c r="W23" s="42">
        <f t="shared" si="0"/>
        <v>1.125</v>
      </c>
      <c r="X23" s="42">
        <f t="shared" si="1"/>
        <v>1.125</v>
      </c>
      <c r="Y23" s="42">
        <f t="shared" si="2"/>
        <v>0.81666666666666665</v>
      </c>
      <c r="Z23" s="42">
        <f t="shared" si="3"/>
        <v>0.81666666666666665</v>
      </c>
      <c r="AA23" s="38">
        <v>1204</v>
      </c>
      <c r="AB23" s="40">
        <v>300</v>
      </c>
      <c r="AC23" s="40">
        <v>300</v>
      </c>
      <c r="AD23" s="40">
        <v>300</v>
      </c>
      <c r="AE23" s="40">
        <v>300</v>
      </c>
      <c r="AF23" s="40">
        <v>300</v>
      </c>
      <c r="AG23" s="40">
        <v>300</v>
      </c>
      <c r="AH23" s="40">
        <v>330</v>
      </c>
      <c r="AI23" s="43">
        <v>350</v>
      </c>
      <c r="AJ23" s="44">
        <v>370</v>
      </c>
      <c r="AK23" s="40">
        <v>337.5</v>
      </c>
      <c r="AL23" s="40">
        <v>300</v>
      </c>
      <c r="AM23" s="75">
        <v>330</v>
      </c>
      <c r="AN23" s="83">
        <v>350</v>
      </c>
      <c r="AO23" s="45">
        <v>0</v>
      </c>
      <c r="AP23" s="40">
        <v>245</v>
      </c>
      <c r="AQ23" s="46">
        <v>247000000</v>
      </c>
      <c r="AR23" s="46">
        <v>197200000</v>
      </c>
      <c r="AS23" s="46">
        <v>200891331</v>
      </c>
      <c r="AT23" s="47">
        <v>114362617</v>
      </c>
      <c r="AU23" s="46" t="e">
        <f t="shared" ca="1" si="5"/>
        <v>#NAME?</v>
      </c>
      <c r="AV23" s="46">
        <v>0</v>
      </c>
      <c r="AW23" s="46">
        <v>0</v>
      </c>
      <c r="AX23" s="46">
        <v>118434798</v>
      </c>
      <c r="AY23" s="47">
        <v>0</v>
      </c>
      <c r="AZ23" s="48" t="e">
        <f t="shared" ca="1" si="4"/>
        <v>#NAME?</v>
      </c>
      <c r="BA23" s="49"/>
      <c r="BB23" s="49"/>
      <c r="BC23" s="49" t="s">
        <v>146</v>
      </c>
      <c r="BD23" s="51" t="s">
        <v>152</v>
      </c>
    </row>
    <row r="24" spans="1:56" s="52" customFormat="1" ht="37.5" customHeight="1">
      <c r="A24" s="34">
        <v>7</v>
      </c>
      <c r="B24" s="35" t="s">
        <v>43</v>
      </c>
      <c r="C24" s="34">
        <v>1</v>
      </c>
      <c r="D24" s="113" t="s">
        <v>359</v>
      </c>
      <c r="E24" s="36" t="s">
        <v>44</v>
      </c>
      <c r="F24" s="34">
        <v>8</v>
      </c>
      <c r="G24" s="36" t="s">
        <v>139</v>
      </c>
      <c r="H24" s="37">
        <v>345</v>
      </c>
      <c r="I24" s="36" t="s">
        <v>153</v>
      </c>
      <c r="J24" s="38">
        <v>26</v>
      </c>
      <c r="K24" s="39" t="s">
        <v>154</v>
      </c>
      <c r="L24" s="38">
        <v>837</v>
      </c>
      <c r="M24" s="39" t="s">
        <v>142</v>
      </c>
      <c r="N24" s="38">
        <v>4</v>
      </c>
      <c r="O24" s="39" t="s">
        <v>115</v>
      </c>
      <c r="P24" s="40">
        <v>40</v>
      </c>
      <c r="Q24" s="36" t="s">
        <v>116</v>
      </c>
      <c r="R24" s="36" t="s">
        <v>155</v>
      </c>
      <c r="S24" s="39" t="s">
        <v>376</v>
      </c>
      <c r="T24" s="39" t="s">
        <v>378</v>
      </c>
      <c r="U24" s="35" t="s">
        <v>52</v>
      </c>
      <c r="V24" s="41">
        <v>1</v>
      </c>
      <c r="W24" s="42">
        <f t="shared" si="0"/>
        <v>1.125</v>
      </c>
      <c r="X24" s="42">
        <f t="shared" si="1"/>
        <v>1.125</v>
      </c>
      <c r="Y24" s="42">
        <f t="shared" si="2"/>
        <v>0.875</v>
      </c>
      <c r="Z24" s="42">
        <f t="shared" si="3"/>
        <v>0.875</v>
      </c>
      <c r="AA24" s="38">
        <v>40</v>
      </c>
      <c r="AB24" s="40">
        <v>10</v>
      </c>
      <c r="AC24" s="40">
        <v>10</v>
      </c>
      <c r="AD24" s="40">
        <v>10</v>
      </c>
      <c r="AE24" s="40">
        <v>10</v>
      </c>
      <c r="AF24" s="40">
        <v>40</v>
      </c>
      <c r="AG24" s="40">
        <v>0</v>
      </c>
      <c r="AH24" s="40">
        <v>15</v>
      </c>
      <c r="AI24" s="43">
        <v>20</v>
      </c>
      <c r="AJ24" s="44">
        <v>10</v>
      </c>
      <c r="AK24" s="40">
        <v>45</v>
      </c>
      <c r="AL24" s="40">
        <v>0</v>
      </c>
      <c r="AM24" s="43">
        <v>15</v>
      </c>
      <c r="AN24" s="45">
        <v>20</v>
      </c>
      <c r="AO24" s="45">
        <v>0</v>
      </c>
      <c r="AP24" s="40">
        <v>35</v>
      </c>
      <c r="AQ24" s="46">
        <v>237500000</v>
      </c>
      <c r="AR24" s="46">
        <v>298951521</v>
      </c>
      <c r="AS24" s="46">
        <v>281852346</v>
      </c>
      <c r="AT24" s="47">
        <v>231000000</v>
      </c>
      <c r="AU24" s="46" t="e">
        <f t="shared" ca="1" si="5"/>
        <v>#NAME?</v>
      </c>
      <c r="AV24" s="46">
        <v>0</v>
      </c>
      <c r="AW24" s="46">
        <v>89685456</v>
      </c>
      <c r="AX24" s="46">
        <v>180385501</v>
      </c>
      <c r="AY24" s="47">
        <v>0</v>
      </c>
      <c r="AZ24" s="48" t="e">
        <f t="shared" ca="1" si="4"/>
        <v>#NAME?</v>
      </c>
      <c r="BA24" s="49"/>
      <c r="BB24" s="49"/>
      <c r="BC24" s="49" t="s">
        <v>146</v>
      </c>
      <c r="BD24" s="51" t="s">
        <v>156</v>
      </c>
    </row>
    <row r="25" spans="1:56" s="52" customFormat="1" ht="37.5" customHeight="1">
      <c r="A25" s="34">
        <v>7</v>
      </c>
      <c r="B25" s="35" t="s">
        <v>43</v>
      </c>
      <c r="C25" s="34">
        <v>1</v>
      </c>
      <c r="D25" s="113" t="s">
        <v>359</v>
      </c>
      <c r="E25" s="36" t="s">
        <v>44</v>
      </c>
      <c r="F25" s="34">
        <v>8</v>
      </c>
      <c r="G25" s="36" t="s">
        <v>139</v>
      </c>
      <c r="H25" s="37">
        <v>346</v>
      </c>
      <c r="I25" s="36" t="s">
        <v>157</v>
      </c>
      <c r="J25" s="38">
        <v>28</v>
      </c>
      <c r="K25" s="39" t="s">
        <v>158</v>
      </c>
      <c r="L25" s="38">
        <v>837</v>
      </c>
      <c r="M25" s="39" t="s">
        <v>142</v>
      </c>
      <c r="N25" s="38"/>
      <c r="O25" s="39" t="s">
        <v>115</v>
      </c>
      <c r="P25" s="40">
        <v>1</v>
      </c>
      <c r="Q25" s="36" t="s">
        <v>159</v>
      </c>
      <c r="R25" s="36" t="s">
        <v>160</v>
      </c>
      <c r="S25" s="39" t="s">
        <v>376</v>
      </c>
      <c r="T25" s="39" t="s">
        <v>379</v>
      </c>
      <c r="U25" s="35" t="s">
        <v>52</v>
      </c>
      <c r="V25" s="41">
        <v>1</v>
      </c>
      <c r="W25" s="42">
        <f t="shared" si="0"/>
        <v>1</v>
      </c>
      <c r="X25" s="42">
        <f t="shared" si="1"/>
        <v>1</v>
      </c>
      <c r="Y25" s="42">
        <f t="shared" si="2"/>
        <v>1</v>
      </c>
      <c r="Z25" s="42">
        <f t="shared" si="3"/>
        <v>1</v>
      </c>
      <c r="AA25" s="38">
        <v>0</v>
      </c>
      <c r="AB25" s="40"/>
      <c r="AC25" s="40"/>
      <c r="AD25" s="40"/>
      <c r="AE25" s="40"/>
      <c r="AF25" s="40">
        <v>0</v>
      </c>
      <c r="AG25" s="40">
        <v>0</v>
      </c>
      <c r="AH25" s="40">
        <v>1</v>
      </c>
      <c r="AI25" s="43">
        <v>0</v>
      </c>
      <c r="AJ25" s="44">
        <v>0</v>
      </c>
      <c r="AK25" s="40">
        <v>1</v>
      </c>
      <c r="AL25" s="40">
        <v>0</v>
      </c>
      <c r="AM25" s="43">
        <v>1</v>
      </c>
      <c r="AN25" s="45">
        <v>0</v>
      </c>
      <c r="AO25" s="45">
        <v>0</v>
      </c>
      <c r="AP25" s="40">
        <v>1</v>
      </c>
      <c r="AQ25" s="46">
        <v>0</v>
      </c>
      <c r="AR25" s="46">
        <v>130218158</v>
      </c>
      <c r="AS25" s="46">
        <v>0</v>
      </c>
      <c r="AT25" s="47">
        <v>0</v>
      </c>
      <c r="AU25" s="46" t="e">
        <f t="shared" ca="1" si="5"/>
        <v>#NAME?</v>
      </c>
      <c r="AV25" s="46">
        <v>0</v>
      </c>
      <c r="AW25" s="46">
        <v>65109079</v>
      </c>
      <c r="AX25" s="46">
        <v>172000000</v>
      </c>
      <c r="AY25" s="47">
        <v>0</v>
      </c>
      <c r="AZ25" s="48" t="e">
        <f t="shared" ca="1" si="4"/>
        <v>#NAME?</v>
      </c>
      <c r="BA25" s="49"/>
      <c r="BB25" s="49"/>
      <c r="BC25" s="49" t="s">
        <v>146</v>
      </c>
      <c r="BD25" s="51"/>
    </row>
    <row r="26" spans="1:56" s="52" customFormat="1" ht="37.5" customHeight="1">
      <c r="A26" s="34">
        <v>7</v>
      </c>
      <c r="B26" s="35" t="s">
        <v>43</v>
      </c>
      <c r="C26" s="34">
        <v>1</v>
      </c>
      <c r="D26" s="113" t="s">
        <v>359</v>
      </c>
      <c r="E26" s="36" t="s">
        <v>44</v>
      </c>
      <c r="F26" s="34">
        <v>8</v>
      </c>
      <c r="G26" s="36" t="s">
        <v>139</v>
      </c>
      <c r="H26" s="37">
        <v>355</v>
      </c>
      <c r="I26" s="36" t="s">
        <v>161</v>
      </c>
      <c r="J26" s="38">
        <v>32</v>
      </c>
      <c r="K26" s="39" t="s">
        <v>162</v>
      </c>
      <c r="L26" s="38">
        <v>837</v>
      </c>
      <c r="M26" s="39" t="s">
        <v>142</v>
      </c>
      <c r="N26" s="38">
        <v>3</v>
      </c>
      <c r="O26" s="39" t="s">
        <v>56</v>
      </c>
      <c r="P26" s="40">
        <v>3000</v>
      </c>
      <c r="Q26" s="36" t="s">
        <v>163</v>
      </c>
      <c r="R26" s="36" t="s">
        <v>164</v>
      </c>
      <c r="S26" s="39" t="s">
        <v>376</v>
      </c>
      <c r="T26" s="39" t="s">
        <v>380</v>
      </c>
      <c r="U26" s="35" t="s">
        <v>52</v>
      </c>
      <c r="V26" s="41">
        <v>1</v>
      </c>
      <c r="W26" s="42">
        <f t="shared" si="0"/>
        <v>1.0166666666666666</v>
      </c>
      <c r="X26" s="42">
        <f t="shared" si="1"/>
        <v>1.0166666666666666</v>
      </c>
      <c r="Y26" s="42">
        <f t="shared" si="2"/>
        <v>0.85933333333333328</v>
      </c>
      <c r="Z26" s="42">
        <f t="shared" si="3"/>
        <v>0.85933333333333328</v>
      </c>
      <c r="AA26" s="38">
        <v>0</v>
      </c>
      <c r="AB26" s="40">
        <v>750</v>
      </c>
      <c r="AC26" s="40">
        <v>750</v>
      </c>
      <c r="AD26" s="40">
        <v>750</v>
      </c>
      <c r="AE26" s="40">
        <v>750</v>
      </c>
      <c r="AF26" s="40">
        <v>3000</v>
      </c>
      <c r="AG26" s="40">
        <v>750</v>
      </c>
      <c r="AH26" s="40">
        <v>750</v>
      </c>
      <c r="AI26" s="43">
        <v>800</v>
      </c>
      <c r="AJ26" s="44">
        <v>750</v>
      </c>
      <c r="AK26" s="40">
        <v>3050</v>
      </c>
      <c r="AL26" s="40">
        <f>750+103</f>
        <v>853</v>
      </c>
      <c r="AM26" s="43">
        <v>875</v>
      </c>
      <c r="AN26" s="45">
        <v>850</v>
      </c>
      <c r="AO26" s="45">
        <v>0</v>
      </c>
      <c r="AP26" s="40">
        <v>2578</v>
      </c>
      <c r="AQ26" s="46">
        <v>731444444</v>
      </c>
      <c r="AR26" s="46">
        <v>726000000</v>
      </c>
      <c r="AS26" s="46">
        <f>734000000+16000000-3300000</f>
        <v>746700000</v>
      </c>
      <c r="AT26" s="47">
        <v>394665791</v>
      </c>
      <c r="AU26" s="46" t="e">
        <f t="shared" ca="1" si="5"/>
        <v>#NAME?</v>
      </c>
      <c r="AV26" s="46">
        <v>208333333</v>
      </c>
      <c r="AW26" s="46">
        <v>646650000</v>
      </c>
      <c r="AX26" s="46">
        <v>745100000</v>
      </c>
      <c r="AY26" s="47">
        <v>0</v>
      </c>
      <c r="AZ26" s="48" t="e">
        <f t="shared" ca="1" si="4"/>
        <v>#NAME?</v>
      </c>
      <c r="BA26" s="49"/>
      <c r="BB26" s="49"/>
      <c r="BC26" s="49" t="s">
        <v>53</v>
      </c>
      <c r="BD26" s="51" t="s">
        <v>165</v>
      </c>
    </row>
    <row r="27" spans="1:56" s="52" customFormat="1" ht="37.5" customHeight="1">
      <c r="A27" s="34">
        <v>7</v>
      </c>
      <c r="B27" s="35" t="s">
        <v>43</v>
      </c>
      <c r="C27" s="34">
        <v>1</v>
      </c>
      <c r="D27" s="113" t="s">
        <v>359</v>
      </c>
      <c r="E27" s="36" t="s">
        <v>44</v>
      </c>
      <c r="F27" s="34">
        <v>8</v>
      </c>
      <c r="G27" s="36" t="s">
        <v>139</v>
      </c>
      <c r="H27" s="37">
        <v>347</v>
      </c>
      <c r="I27" s="36" t="s">
        <v>166</v>
      </c>
      <c r="J27" s="38">
        <v>30</v>
      </c>
      <c r="K27" s="39" t="s">
        <v>167</v>
      </c>
      <c r="L27" s="38">
        <v>838</v>
      </c>
      <c r="M27" s="39" t="s">
        <v>168</v>
      </c>
      <c r="N27" s="38">
        <v>2</v>
      </c>
      <c r="O27" s="39" t="s">
        <v>169</v>
      </c>
      <c r="P27" s="40">
        <v>250</v>
      </c>
      <c r="Q27" s="36" t="s">
        <v>63</v>
      </c>
      <c r="R27" s="36" t="s">
        <v>170</v>
      </c>
      <c r="S27" s="39" t="s">
        <v>376</v>
      </c>
      <c r="T27" s="39" t="s">
        <v>380</v>
      </c>
      <c r="U27" s="35" t="s">
        <v>85</v>
      </c>
      <c r="V27" s="41">
        <v>1</v>
      </c>
      <c r="W27" s="42">
        <f t="shared" si="0"/>
        <v>1.1679999999999999</v>
      </c>
      <c r="X27" s="42">
        <f t="shared" si="1"/>
        <v>1.1679999999999999</v>
      </c>
      <c r="Y27" s="42">
        <f t="shared" si="2"/>
        <v>0.91800000000000004</v>
      </c>
      <c r="Z27" s="42">
        <f t="shared" si="3"/>
        <v>0.91800000000000004</v>
      </c>
      <c r="AA27" s="38">
        <v>0</v>
      </c>
      <c r="AB27" s="40">
        <v>250</v>
      </c>
      <c r="AC27" s="40">
        <v>250</v>
      </c>
      <c r="AD27" s="40">
        <v>250</v>
      </c>
      <c r="AE27" s="40">
        <v>250</v>
      </c>
      <c r="AF27" s="40">
        <v>250</v>
      </c>
      <c r="AG27" s="40">
        <v>520</v>
      </c>
      <c r="AH27" s="40">
        <v>398</v>
      </c>
      <c r="AI27" s="43">
        <v>0</v>
      </c>
      <c r="AJ27" s="44">
        <v>250</v>
      </c>
      <c r="AK27" s="40">
        <v>292</v>
      </c>
      <c r="AL27" s="40">
        <v>520</v>
      </c>
      <c r="AM27" s="43">
        <v>398</v>
      </c>
      <c r="AN27" s="45">
        <v>0</v>
      </c>
      <c r="AO27" s="45">
        <v>0</v>
      </c>
      <c r="AP27" s="40">
        <v>229.5</v>
      </c>
      <c r="AQ27" s="46">
        <v>221779446</v>
      </c>
      <c r="AR27" s="46">
        <v>171428571</v>
      </c>
      <c r="AS27" s="46">
        <v>0</v>
      </c>
      <c r="AT27" s="47">
        <v>158926456</v>
      </c>
      <c r="AU27" s="46" t="e">
        <f t="shared" ca="1" si="5"/>
        <v>#NAME?</v>
      </c>
      <c r="AV27" s="46">
        <v>0</v>
      </c>
      <c r="AW27" s="46">
        <v>0</v>
      </c>
      <c r="AX27" s="46">
        <v>0</v>
      </c>
      <c r="AY27" s="47">
        <v>0</v>
      </c>
      <c r="AZ27" s="48" t="e">
        <f t="shared" ca="1" si="4"/>
        <v>#NAME?</v>
      </c>
      <c r="BA27" s="49"/>
      <c r="BB27" s="49"/>
      <c r="BC27" s="49" t="s">
        <v>65</v>
      </c>
      <c r="BD27" s="51"/>
    </row>
    <row r="28" spans="1:56" s="52" customFormat="1" ht="37.5" customHeight="1">
      <c r="A28" s="34">
        <v>7</v>
      </c>
      <c r="B28" s="35" t="s">
        <v>43</v>
      </c>
      <c r="C28" s="34">
        <v>1</v>
      </c>
      <c r="D28" s="113" t="s">
        <v>359</v>
      </c>
      <c r="E28" s="36" t="s">
        <v>44</v>
      </c>
      <c r="F28" s="34">
        <v>8</v>
      </c>
      <c r="G28" s="36" t="s">
        <v>139</v>
      </c>
      <c r="H28" s="37">
        <v>348</v>
      </c>
      <c r="I28" s="36" t="s">
        <v>171</v>
      </c>
      <c r="J28" s="38">
        <v>32</v>
      </c>
      <c r="K28" s="39" t="s">
        <v>162</v>
      </c>
      <c r="L28" s="38">
        <v>838</v>
      </c>
      <c r="M28" s="39" t="s">
        <v>168</v>
      </c>
      <c r="N28" s="38">
        <v>3</v>
      </c>
      <c r="O28" s="39" t="s">
        <v>56</v>
      </c>
      <c r="P28" s="40">
        <v>7200</v>
      </c>
      <c r="Q28" s="36" t="s">
        <v>125</v>
      </c>
      <c r="R28" s="36" t="s">
        <v>172</v>
      </c>
      <c r="S28" s="39" t="s">
        <v>376</v>
      </c>
      <c r="T28" s="39" t="s">
        <v>380</v>
      </c>
      <c r="U28" s="35" t="s">
        <v>52</v>
      </c>
      <c r="V28" s="41">
        <v>1</v>
      </c>
      <c r="W28" s="42">
        <f t="shared" si="0"/>
        <v>1</v>
      </c>
      <c r="X28" s="42">
        <f t="shared" si="1"/>
        <v>1</v>
      </c>
      <c r="Y28" s="42">
        <f t="shared" si="2"/>
        <v>0.77777777777777779</v>
      </c>
      <c r="Z28" s="42">
        <f t="shared" si="3"/>
        <v>0.77777777777777779</v>
      </c>
      <c r="AA28" s="38">
        <v>5600</v>
      </c>
      <c r="AB28" s="40">
        <v>1800</v>
      </c>
      <c r="AC28" s="40">
        <v>1800</v>
      </c>
      <c r="AD28" s="40">
        <v>1800</v>
      </c>
      <c r="AE28" s="40">
        <v>1800</v>
      </c>
      <c r="AF28" s="40">
        <v>7200</v>
      </c>
      <c r="AG28" s="40">
        <v>1800</v>
      </c>
      <c r="AH28" s="40">
        <v>2800</v>
      </c>
      <c r="AI28" s="43">
        <v>1000</v>
      </c>
      <c r="AJ28" s="44">
        <v>1600</v>
      </c>
      <c r="AK28" s="40">
        <v>7200</v>
      </c>
      <c r="AL28" s="40">
        <v>1800</v>
      </c>
      <c r="AM28" s="43">
        <v>2800</v>
      </c>
      <c r="AN28" s="45">
        <v>1000</v>
      </c>
      <c r="AO28" s="45">
        <v>0</v>
      </c>
      <c r="AP28" s="40">
        <v>5600</v>
      </c>
      <c r="AQ28" s="46">
        <v>487108000</v>
      </c>
      <c r="AR28" s="46">
        <v>672000000</v>
      </c>
      <c r="AS28" s="46">
        <v>286500000</v>
      </c>
      <c r="AT28" s="47">
        <v>572338838</v>
      </c>
      <c r="AU28" s="46" t="e">
        <f t="shared" ca="1" si="5"/>
        <v>#NAME?</v>
      </c>
      <c r="AV28" s="46">
        <v>0</v>
      </c>
      <c r="AW28" s="46">
        <v>0</v>
      </c>
      <c r="AX28" s="46">
        <v>136151703</v>
      </c>
      <c r="AY28" s="47">
        <v>0</v>
      </c>
      <c r="AZ28" s="48" t="e">
        <f t="shared" ca="1" si="4"/>
        <v>#NAME?</v>
      </c>
      <c r="BA28" s="49"/>
      <c r="BB28" s="49"/>
      <c r="BC28" s="49" t="s">
        <v>65</v>
      </c>
      <c r="BD28" s="51"/>
    </row>
    <row r="29" spans="1:56" s="52" customFormat="1" ht="37.5" customHeight="1">
      <c r="A29" s="34">
        <v>7</v>
      </c>
      <c r="B29" s="35" t="s">
        <v>43</v>
      </c>
      <c r="C29" s="34">
        <v>1</v>
      </c>
      <c r="D29" s="113" t="s">
        <v>359</v>
      </c>
      <c r="E29" s="36" t="s">
        <v>44</v>
      </c>
      <c r="F29" s="34">
        <v>8</v>
      </c>
      <c r="G29" s="36" t="s">
        <v>139</v>
      </c>
      <c r="H29" s="37">
        <v>349</v>
      </c>
      <c r="I29" s="36" t="s">
        <v>173</v>
      </c>
      <c r="J29" s="38">
        <v>31</v>
      </c>
      <c r="K29" s="39" t="s">
        <v>174</v>
      </c>
      <c r="L29" s="38">
        <v>838</v>
      </c>
      <c r="M29" s="39" t="s">
        <v>168</v>
      </c>
      <c r="N29" s="38">
        <v>1</v>
      </c>
      <c r="O29" s="39" t="s">
        <v>143</v>
      </c>
      <c r="P29" s="40">
        <v>32</v>
      </c>
      <c r="Q29" s="36" t="s">
        <v>144</v>
      </c>
      <c r="R29" s="36" t="s">
        <v>175</v>
      </c>
      <c r="S29" s="39" t="s">
        <v>376</v>
      </c>
      <c r="T29" s="39" t="s">
        <v>380</v>
      </c>
      <c r="U29" s="35" t="s">
        <v>52</v>
      </c>
      <c r="V29" s="41">
        <v>1</v>
      </c>
      <c r="W29" s="42">
        <f t="shared" si="0"/>
        <v>1</v>
      </c>
      <c r="X29" s="42">
        <f t="shared" si="1"/>
        <v>1</v>
      </c>
      <c r="Y29" s="42">
        <f t="shared" si="2"/>
        <v>0.6875</v>
      </c>
      <c r="Z29" s="42">
        <f t="shared" si="3"/>
        <v>0.6875</v>
      </c>
      <c r="AA29" s="38">
        <v>32</v>
      </c>
      <c r="AB29" s="40">
        <v>8</v>
      </c>
      <c r="AC29" s="40">
        <v>8</v>
      </c>
      <c r="AD29" s="40">
        <v>8</v>
      </c>
      <c r="AE29" s="40">
        <v>8</v>
      </c>
      <c r="AF29" s="40">
        <v>32</v>
      </c>
      <c r="AG29" s="40">
        <f>1+7</f>
        <v>8</v>
      </c>
      <c r="AH29" s="40">
        <f>8+2</f>
        <v>10</v>
      </c>
      <c r="AI29" s="43">
        <v>6</v>
      </c>
      <c r="AJ29" s="44">
        <v>8</v>
      </c>
      <c r="AK29" s="40">
        <v>32</v>
      </c>
      <c r="AL29" s="40">
        <v>6</v>
      </c>
      <c r="AM29" s="43">
        <v>10</v>
      </c>
      <c r="AN29" s="45">
        <v>6</v>
      </c>
      <c r="AO29" s="45">
        <v>0</v>
      </c>
      <c r="AP29" s="40">
        <v>22</v>
      </c>
      <c r="AQ29" s="46">
        <v>990638506</v>
      </c>
      <c r="AR29" s="46">
        <v>1267346442</v>
      </c>
      <c r="AS29" s="46">
        <v>790871000</v>
      </c>
      <c r="AT29" s="47">
        <v>1203457200</v>
      </c>
      <c r="AU29" s="46" t="e">
        <f t="shared" ca="1" si="5"/>
        <v>#NAME?</v>
      </c>
      <c r="AV29" s="46">
        <v>52062852</v>
      </c>
      <c r="AW29" s="46">
        <v>0</v>
      </c>
      <c r="AX29" s="46">
        <v>195797000</v>
      </c>
      <c r="AY29" s="47">
        <v>0</v>
      </c>
      <c r="AZ29" s="48" t="e">
        <f t="shared" ca="1" si="4"/>
        <v>#NAME?</v>
      </c>
      <c r="BA29" s="49"/>
      <c r="BB29" s="49"/>
      <c r="BC29" s="49" t="s">
        <v>65</v>
      </c>
      <c r="BD29" s="51" t="s">
        <v>176</v>
      </c>
    </row>
    <row r="30" spans="1:56" s="52" customFormat="1" ht="37.5" customHeight="1">
      <c r="A30" s="34">
        <v>7</v>
      </c>
      <c r="B30" s="35" t="s">
        <v>43</v>
      </c>
      <c r="C30" s="34">
        <v>1</v>
      </c>
      <c r="D30" s="113" t="s">
        <v>359</v>
      </c>
      <c r="E30" s="36" t="s">
        <v>44</v>
      </c>
      <c r="F30" s="34">
        <v>8</v>
      </c>
      <c r="G30" s="36" t="s">
        <v>139</v>
      </c>
      <c r="H30" s="37">
        <v>350</v>
      </c>
      <c r="I30" s="36" t="s">
        <v>177</v>
      </c>
      <c r="J30" s="38">
        <v>35</v>
      </c>
      <c r="K30" s="39" t="s">
        <v>178</v>
      </c>
      <c r="L30" s="38">
        <v>839</v>
      </c>
      <c r="M30" s="39" t="s">
        <v>179</v>
      </c>
      <c r="N30" s="38">
        <v>1</v>
      </c>
      <c r="O30" s="39" t="s">
        <v>180</v>
      </c>
      <c r="P30" s="40">
        <v>28</v>
      </c>
      <c r="Q30" s="36" t="s">
        <v>181</v>
      </c>
      <c r="R30" s="36" t="s">
        <v>182</v>
      </c>
      <c r="S30" s="39" t="s">
        <v>376</v>
      </c>
      <c r="T30" s="39" t="s">
        <v>381</v>
      </c>
      <c r="U30" s="35" t="s">
        <v>52</v>
      </c>
      <c r="V30" s="41">
        <v>1</v>
      </c>
      <c r="W30" s="42">
        <f t="shared" si="0"/>
        <v>1.4642857142857142</v>
      </c>
      <c r="X30" s="42">
        <f t="shared" si="1"/>
        <v>1.4642857142857142</v>
      </c>
      <c r="Y30" s="42">
        <f t="shared" si="2"/>
        <v>1.1071428571428572</v>
      </c>
      <c r="Z30" s="42">
        <f t="shared" si="3"/>
        <v>1.1071428571428572</v>
      </c>
      <c r="AA30" s="38">
        <v>51</v>
      </c>
      <c r="AB30" s="40">
        <v>7</v>
      </c>
      <c r="AC30" s="40">
        <v>7</v>
      </c>
      <c r="AD30" s="40">
        <v>7</v>
      </c>
      <c r="AE30" s="40">
        <v>7</v>
      </c>
      <c r="AF30" s="40">
        <v>28</v>
      </c>
      <c r="AG30" s="40">
        <v>11</v>
      </c>
      <c r="AH30" s="40">
        <v>13</v>
      </c>
      <c r="AI30" s="43">
        <v>6</v>
      </c>
      <c r="AJ30" s="44">
        <v>11</v>
      </c>
      <c r="AK30" s="40">
        <v>41</v>
      </c>
      <c r="AL30" s="40">
        <v>12</v>
      </c>
      <c r="AM30" s="43">
        <f>12+1</f>
        <v>13</v>
      </c>
      <c r="AN30" s="45">
        <v>6</v>
      </c>
      <c r="AO30" s="45">
        <v>0</v>
      </c>
      <c r="AP30" s="40">
        <v>31</v>
      </c>
      <c r="AQ30" s="46">
        <v>2112521214</v>
      </c>
      <c r="AR30" s="46">
        <v>3154281186</v>
      </c>
      <c r="AS30" s="46">
        <f>3908445635+194881906</f>
        <v>4103327541</v>
      </c>
      <c r="AT30" s="47">
        <v>1986973476</v>
      </c>
      <c r="AU30" s="46" t="e">
        <f t="shared" ca="1" si="5"/>
        <v>#NAME?</v>
      </c>
      <c r="AV30" s="46">
        <v>258401511</v>
      </c>
      <c r="AW30" s="46">
        <v>970597177</v>
      </c>
      <c r="AX30" s="84">
        <v>3479494283.75454</v>
      </c>
      <c r="AY30" s="47">
        <v>0</v>
      </c>
      <c r="AZ30" s="48" t="e">
        <f t="shared" ca="1" si="4"/>
        <v>#NAME?</v>
      </c>
      <c r="BA30" s="49"/>
      <c r="BB30" s="49"/>
      <c r="BC30" s="50" t="s">
        <v>183</v>
      </c>
      <c r="BD30" s="51" t="s">
        <v>184</v>
      </c>
    </row>
    <row r="31" spans="1:56" s="52" customFormat="1" ht="37.5" customHeight="1">
      <c r="A31" s="34">
        <v>7</v>
      </c>
      <c r="B31" s="35" t="s">
        <v>43</v>
      </c>
      <c r="C31" s="34">
        <v>1</v>
      </c>
      <c r="D31" s="113" t="s">
        <v>359</v>
      </c>
      <c r="E31" s="36" t="s">
        <v>44</v>
      </c>
      <c r="F31" s="34">
        <v>8</v>
      </c>
      <c r="G31" s="36" t="s">
        <v>139</v>
      </c>
      <c r="H31" s="37">
        <v>351</v>
      </c>
      <c r="I31" s="36" t="s">
        <v>185</v>
      </c>
      <c r="J31" s="38">
        <v>37</v>
      </c>
      <c r="K31" s="39" t="s">
        <v>186</v>
      </c>
      <c r="L31" s="38">
        <v>839</v>
      </c>
      <c r="M31" s="39" t="s">
        <v>179</v>
      </c>
      <c r="N31" s="38">
        <v>2</v>
      </c>
      <c r="O31" s="39" t="s">
        <v>187</v>
      </c>
      <c r="P31" s="40">
        <v>6</v>
      </c>
      <c r="Q31" s="36" t="s">
        <v>181</v>
      </c>
      <c r="R31" s="36" t="s">
        <v>188</v>
      </c>
      <c r="S31" s="39" t="s">
        <v>376</v>
      </c>
      <c r="T31" s="39" t="s">
        <v>381</v>
      </c>
      <c r="U31" s="35" t="s">
        <v>52</v>
      </c>
      <c r="V31" s="41">
        <v>1</v>
      </c>
      <c r="W31" s="42">
        <f t="shared" si="0"/>
        <v>0.83333333333333337</v>
      </c>
      <c r="X31" s="42">
        <f t="shared" si="1"/>
        <v>0.83333333333333337</v>
      </c>
      <c r="Y31" s="42">
        <f t="shared" si="2"/>
        <v>0.16666666666666666</v>
      </c>
      <c r="Z31" s="42">
        <f t="shared" si="3"/>
        <v>0.16666666666666666</v>
      </c>
      <c r="AA31" s="38">
        <v>0</v>
      </c>
      <c r="AB31" s="40">
        <v>1</v>
      </c>
      <c r="AC31" s="40">
        <v>2</v>
      </c>
      <c r="AD31" s="40">
        <v>3</v>
      </c>
      <c r="AE31" s="40">
        <v>0</v>
      </c>
      <c r="AF31" s="40">
        <v>6</v>
      </c>
      <c r="AG31" s="40">
        <v>0</v>
      </c>
      <c r="AH31" s="40">
        <v>0</v>
      </c>
      <c r="AI31" s="43">
        <v>1</v>
      </c>
      <c r="AJ31" s="44">
        <v>4</v>
      </c>
      <c r="AK31" s="40">
        <v>5</v>
      </c>
      <c r="AL31" s="40">
        <v>0</v>
      </c>
      <c r="AM31" s="43">
        <v>0</v>
      </c>
      <c r="AN31" s="45">
        <v>1</v>
      </c>
      <c r="AO31" s="45">
        <v>0</v>
      </c>
      <c r="AP31" s="40">
        <v>1</v>
      </c>
      <c r="AQ31" s="46">
        <v>132387546</v>
      </c>
      <c r="AR31" s="85">
        <v>62890497.333333299</v>
      </c>
      <c r="AS31" s="46">
        <v>646645427</v>
      </c>
      <c r="AT31" s="47">
        <v>2584174207</v>
      </c>
      <c r="AU31" s="46" t="e">
        <f t="shared" ca="1" si="5"/>
        <v>#NAME?</v>
      </c>
      <c r="AV31" s="46">
        <v>0</v>
      </c>
      <c r="AW31" s="46">
        <v>20398407</v>
      </c>
      <c r="AX31" s="46">
        <v>646645427.29999995</v>
      </c>
      <c r="AY31" s="47">
        <v>0</v>
      </c>
      <c r="AZ31" s="48" t="e">
        <f t="shared" ca="1" si="4"/>
        <v>#NAME?</v>
      </c>
      <c r="BA31" s="49"/>
      <c r="BB31" s="49"/>
      <c r="BC31" s="50" t="s">
        <v>183</v>
      </c>
      <c r="BD31" s="51" t="s">
        <v>189</v>
      </c>
    </row>
    <row r="32" spans="1:56" s="52" customFormat="1" ht="37.5" customHeight="1">
      <c r="A32" s="34">
        <v>7</v>
      </c>
      <c r="B32" s="35" t="s">
        <v>43</v>
      </c>
      <c r="C32" s="34">
        <v>1</v>
      </c>
      <c r="D32" s="113" t="s">
        <v>359</v>
      </c>
      <c r="E32" s="36" t="s">
        <v>44</v>
      </c>
      <c r="F32" s="34">
        <v>8</v>
      </c>
      <c r="G32" s="36" t="s">
        <v>139</v>
      </c>
      <c r="H32" s="37">
        <v>352</v>
      </c>
      <c r="I32" s="36" t="s">
        <v>190</v>
      </c>
      <c r="J32" s="38">
        <v>36</v>
      </c>
      <c r="K32" s="39" t="s">
        <v>191</v>
      </c>
      <c r="L32" s="38">
        <v>839</v>
      </c>
      <c r="M32" s="39" t="s">
        <v>179</v>
      </c>
      <c r="N32" s="38">
        <v>3</v>
      </c>
      <c r="O32" s="39" t="s">
        <v>187</v>
      </c>
      <c r="P32" s="40">
        <v>4</v>
      </c>
      <c r="Q32" s="36" t="s">
        <v>181</v>
      </c>
      <c r="R32" s="36" t="s">
        <v>182</v>
      </c>
      <c r="S32" s="39" t="s">
        <v>376</v>
      </c>
      <c r="T32" s="39" t="s">
        <v>381</v>
      </c>
      <c r="U32" s="35" t="s">
        <v>52</v>
      </c>
      <c r="V32" s="41">
        <v>1</v>
      </c>
      <c r="W32" s="42">
        <f t="shared" si="0"/>
        <v>1.5</v>
      </c>
      <c r="X32" s="42">
        <f t="shared" si="1"/>
        <v>1.5</v>
      </c>
      <c r="Y32" s="42">
        <f t="shared" si="2"/>
        <v>0.25</v>
      </c>
      <c r="Z32" s="42">
        <f t="shared" si="3"/>
        <v>0.25</v>
      </c>
      <c r="AA32" s="38">
        <v>0</v>
      </c>
      <c r="AB32" s="40">
        <v>1</v>
      </c>
      <c r="AC32" s="40">
        <v>1</v>
      </c>
      <c r="AD32" s="40">
        <v>2</v>
      </c>
      <c r="AE32" s="40">
        <v>0</v>
      </c>
      <c r="AF32" s="40">
        <v>4</v>
      </c>
      <c r="AG32" s="40">
        <v>0</v>
      </c>
      <c r="AH32" s="40">
        <v>0</v>
      </c>
      <c r="AI32" s="43">
        <v>1</v>
      </c>
      <c r="AJ32" s="44">
        <v>5</v>
      </c>
      <c r="AK32" s="40">
        <v>6</v>
      </c>
      <c r="AL32" s="40">
        <v>0</v>
      </c>
      <c r="AM32" s="43">
        <v>0</v>
      </c>
      <c r="AN32" s="45">
        <v>1</v>
      </c>
      <c r="AO32" s="45">
        <v>0</v>
      </c>
      <c r="AP32" s="40">
        <v>1</v>
      </c>
      <c r="AQ32" s="46">
        <v>144396088</v>
      </c>
      <c r="AR32" s="85">
        <v>60748304.666666701</v>
      </c>
      <c r="AS32" s="46">
        <v>646645427</v>
      </c>
      <c r="AT32" s="47">
        <v>2067339366</v>
      </c>
      <c r="AU32" s="46" t="e">
        <f t="shared" ca="1" si="5"/>
        <v>#NAME?</v>
      </c>
      <c r="AV32" s="46">
        <v>0</v>
      </c>
      <c r="AW32" s="46">
        <v>0</v>
      </c>
      <c r="AX32" s="46">
        <v>646645427.29999995</v>
      </c>
      <c r="AY32" s="47">
        <v>0</v>
      </c>
      <c r="AZ32" s="48" t="e">
        <f t="shared" ca="1" si="4"/>
        <v>#NAME?</v>
      </c>
      <c r="BA32" s="49"/>
      <c r="BB32" s="49"/>
      <c r="BC32" s="50" t="s">
        <v>183</v>
      </c>
      <c r="BD32" s="51" t="s">
        <v>192</v>
      </c>
    </row>
    <row r="33" spans="1:58" s="52" customFormat="1" ht="37.5" customHeight="1">
      <c r="A33" s="34">
        <v>7</v>
      </c>
      <c r="B33" s="35" t="s">
        <v>43</v>
      </c>
      <c r="C33" s="34">
        <v>1</v>
      </c>
      <c r="D33" s="113" t="s">
        <v>359</v>
      </c>
      <c r="E33" s="36" t="s">
        <v>44</v>
      </c>
      <c r="F33" s="34">
        <v>8</v>
      </c>
      <c r="G33" s="36" t="s">
        <v>139</v>
      </c>
      <c r="H33" s="37">
        <v>353</v>
      </c>
      <c r="I33" s="36" t="s">
        <v>193</v>
      </c>
      <c r="J33" s="38">
        <v>35</v>
      </c>
      <c r="K33" s="39" t="s">
        <v>178</v>
      </c>
      <c r="L33" s="38">
        <v>839</v>
      </c>
      <c r="M33" s="39" t="s">
        <v>179</v>
      </c>
      <c r="N33" s="38">
        <v>4</v>
      </c>
      <c r="O33" s="39" t="s">
        <v>180</v>
      </c>
      <c r="P33" s="40">
        <v>60</v>
      </c>
      <c r="Q33" s="36" t="s">
        <v>181</v>
      </c>
      <c r="R33" s="36" t="s">
        <v>188</v>
      </c>
      <c r="S33" s="39" t="s">
        <v>376</v>
      </c>
      <c r="T33" s="39" t="s">
        <v>381</v>
      </c>
      <c r="U33" s="35" t="s">
        <v>52</v>
      </c>
      <c r="V33" s="41">
        <v>1</v>
      </c>
      <c r="W33" s="42">
        <f t="shared" si="0"/>
        <v>0.8</v>
      </c>
      <c r="X33" s="42">
        <f t="shared" si="1"/>
        <v>0.8</v>
      </c>
      <c r="Y33" s="42">
        <f t="shared" si="2"/>
        <v>0.75</v>
      </c>
      <c r="Z33" s="42">
        <f t="shared" si="3"/>
        <v>0.75</v>
      </c>
      <c r="AA33" s="38">
        <v>51</v>
      </c>
      <c r="AB33" s="40">
        <v>15</v>
      </c>
      <c r="AC33" s="40">
        <v>15</v>
      </c>
      <c r="AD33" s="40">
        <v>15</v>
      </c>
      <c r="AE33" s="40">
        <v>15</v>
      </c>
      <c r="AF33" s="40">
        <v>60</v>
      </c>
      <c r="AG33" s="40">
        <v>18</v>
      </c>
      <c r="AH33" s="40">
        <v>14</v>
      </c>
      <c r="AI33" s="43">
        <v>14</v>
      </c>
      <c r="AJ33" s="44">
        <v>2</v>
      </c>
      <c r="AK33" s="40">
        <v>48</v>
      </c>
      <c r="AL33" s="40">
        <v>17</v>
      </c>
      <c r="AM33" s="43">
        <f>13+1</f>
        <v>14</v>
      </c>
      <c r="AN33" s="45">
        <v>14</v>
      </c>
      <c r="AO33" s="45">
        <v>0</v>
      </c>
      <c r="AP33" s="40">
        <v>45</v>
      </c>
      <c r="AQ33" s="46">
        <v>1084034350</v>
      </c>
      <c r="AR33" s="46">
        <v>1832078980</v>
      </c>
      <c r="AS33" s="46">
        <v>2687103679</v>
      </c>
      <c r="AT33" s="47">
        <v>361305604</v>
      </c>
      <c r="AU33" s="46" t="e">
        <f t="shared" ca="1" si="5"/>
        <v>#NAME?</v>
      </c>
      <c r="AV33" s="46">
        <v>0</v>
      </c>
      <c r="AW33" s="46">
        <v>480599550</v>
      </c>
      <c r="AX33" s="46">
        <v>2667763991.6454601</v>
      </c>
      <c r="AY33" s="47">
        <v>0</v>
      </c>
      <c r="AZ33" s="48" t="e">
        <f t="shared" ca="1" si="4"/>
        <v>#NAME?</v>
      </c>
      <c r="BA33" s="49"/>
      <c r="BB33" s="49"/>
      <c r="BC33" s="50" t="s">
        <v>183</v>
      </c>
      <c r="BD33" s="51" t="s">
        <v>194</v>
      </c>
    </row>
    <row r="34" spans="1:58" s="52" customFormat="1" ht="37.5" customHeight="1">
      <c r="A34" s="34">
        <v>7</v>
      </c>
      <c r="B34" s="35" t="s">
        <v>43</v>
      </c>
      <c r="C34" s="34">
        <v>1</v>
      </c>
      <c r="D34" s="113" t="s">
        <v>359</v>
      </c>
      <c r="E34" s="36" t="s">
        <v>44</v>
      </c>
      <c r="F34" s="34">
        <v>8</v>
      </c>
      <c r="G34" s="36" t="s">
        <v>139</v>
      </c>
      <c r="H34" s="37">
        <v>354</v>
      </c>
      <c r="I34" s="36" t="s">
        <v>195</v>
      </c>
      <c r="J34" s="38" t="s">
        <v>382</v>
      </c>
      <c r="K34" s="39" t="s">
        <v>196</v>
      </c>
      <c r="L34" s="38">
        <v>839</v>
      </c>
      <c r="M34" s="39" t="s">
        <v>179</v>
      </c>
      <c r="N34" s="38"/>
      <c r="O34" s="39" t="s">
        <v>49</v>
      </c>
      <c r="P34" s="40">
        <v>1</v>
      </c>
      <c r="Q34" s="36" t="s">
        <v>197</v>
      </c>
      <c r="R34" s="36" t="s">
        <v>198</v>
      </c>
      <c r="S34" s="39" t="s">
        <v>382</v>
      </c>
      <c r="T34" s="39" t="s">
        <v>382</v>
      </c>
      <c r="U34" s="35" t="s">
        <v>52</v>
      </c>
      <c r="V34" s="41">
        <v>1</v>
      </c>
      <c r="W34" s="42">
        <f t="shared" si="0"/>
        <v>1</v>
      </c>
      <c r="X34" s="42">
        <f t="shared" si="1"/>
        <v>1</v>
      </c>
      <c r="Y34" s="42">
        <f t="shared" si="2"/>
        <v>0</v>
      </c>
      <c r="Z34" s="42">
        <f t="shared" si="3"/>
        <v>0</v>
      </c>
      <c r="AA34" s="38">
        <v>0</v>
      </c>
      <c r="AB34" s="40">
        <v>0</v>
      </c>
      <c r="AC34" s="40">
        <v>1</v>
      </c>
      <c r="AD34" s="40">
        <v>0</v>
      </c>
      <c r="AE34" s="40">
        <v>0</v>
      </c>
      <c r="AF34" s="40">
        <v>1</v>
      </c>
      <c r="AG34" s="40">
        <v>0</v>
      </c>
      <c r="AH34" s="40">
        <v>1</v>
      </c>
      <c r="AI34" s="43">
        <v>0</v>
      </c>
      <c r="AJ34" s="44">
        <v>0</v>
      </c>
      <c r="AK34" s="40">
        <v>1</v>
      </c>
      <c r="AL34" s="40">
        <v>0</v>
      </c>
      <c r="AM34" s="43">
        <v>0</v>
      </c>
      <c r="AN34" s="45">
        <v>0</v>
      </c>
      <c r="AO34" s="45">
        <v>0</v>
      </c>
      <c r="AP34" s="40">
        <v>0</v>
      </c>
      <c r="AQ34" s="46">
        <v>0</v>
      </c>
      <c r="AR34" s="46">
        <v>300000000</v>
      </c>
      <c r="AS34" s="46">
        <v>0</v>
      </c>
      <c r="AT34" s="47">
        <v>0</v>
      </c>
      <c r="AU34" s="46" t="e">
        <f t="shared" ca="1" si="5"/>
        <v>#NAME?</v>
      </c>
      <c r="AV34" s="46">
        <v>0</v>
      </c>
      <c r="AW34" s="46">
        <v>0</v>
      </c>
      <c r="AX34" s="46">
        <v>0</v>
      </c>
      <c r="AY34" s="47">
        <v>0</v>
      </c>
      <c r="AZ34" s="48" t="e">
        <f t="shared" ca="1" si="4"/>
        <v>#NAME?</v>
      </c>
      <c r="BA34" s="49"/>
      <c r="BB34" s="49"/>
      <c r="BC34" s="50" t="s">
        <v>183</v>
      </c>
      <c r="BD34" s="51"/>
    </row>
    <row r="35" spans="1:58" s="52" customFormat="1" ht="37.5" customHeight="1">
      <c r="A35" s="34">
        <v>7</v>
      </c>
      <c r="B35" s="35" t="s">
        <v>43</v>
      </c>
      <c r="C35" s="34">
        <v>1</v>
      </c>
      <c r="D35" s="113" t="s">
        <v>359</v>
      </c>
      <c r="E35" s="36" t="s">
        <v>44</v>
      </c>
      <c r="F35" s="34">
        <v>15</v>
      </c>
      <c r="G35" s="36" t="s">
        <v>199</v>
      </c>
      <c r="H35" s="37">
        <v>356</v>
      </c>
      <c r="I35" s="36" t="s">
        <v>200</v>
      </c>
      <c r="J35" s="38" t="s">
        <v>382</v>
      </c>
      <c r="K35" s="39" t="s">
        <v>196</v>
      </c>
      <c r="L35" s="38">
        <v>840</v>
      </c>
      <c r="M35" s="39" t="s">
        <v>201</v>
      </c>
      <c r="N35" s="38">
        <v>1</v>
      </c>
      <c r="O35" s="39" t="s">
        <v>143</v>
      </c>
      <c r="P35" s="40">
        <v>100</v>
      </c>
      <c r="Q35" s="36" t="s">
        <v>202</v>
      </c>
      <c r="R35" s="36" t="s">
        <v>203</v>
      </c>
      <c r="S35" s="39" t="s">
        <v>382</v>
      </c>
      <c r="T35" s="39" t="s">
        <v>382</v>
      </c>
      <c r="U35" s="35" t="s">
        <v>52</v>
      </c>
      <c r="V35" s="41">
        <v>1</v>
      </c>
      <c r="W35" s="42">
        <f t="shared" ref="W35:W66" si="6">AK35/P35</f>
        <v>0</v>
      </c>
      <c r="X35" s="42">
        <f t="shared" ref="X35:X66" si="7">V35*W35</f>
        <v>0</v>
      </c>
      <c r="Y35" s="42">
        <f t="shared" ref="Y35:Y66" si="8">AP35/P35</f>
        <v>0</v>
      </c>
      <c r="Z35" s="42">
        <f t="shared" ref="Z35:Z66" si="9">Y35*V35</f>
        <v>0</v>
      </c>
      <c r="AA35" s="38">
        <v>1</v>
      </c>
      <c r="AB35" s="40">
        <v>50</v>
      </c>
      <c r="AC35" s="40">
        <v>100</v>
      </c>
      <c r="AD35" s="40">
        <v>0</v>
      </c>
      <c r="AE35" s="40">
        <v>0</v>
      </c>
      <c r="AF35" s="40">
        <v>100</v>
      </c>
      <c r="AG35" s="40">
        <v>0</v>
      </c>
      <c r="AH35" s="40">
        <v>0</v>
      </c>
      <c r="AI35" s="43">
        <v>0</v>
      </c>
      <c r="AJ35" s="44">
        <v>0</v>
      </c>
      <c r="AK35" s="40">
        <v>0</v>
      </c>
      <c r="AL35" s="40">
        <v>0</v>
      </c>
      <c r="AM35" s="43">
        <v>0</v>
      </c>
      <c r="AN35" s="45">
        <v>0</v>
      </c>
      <c r="AO35" s="45">
        <v>0</v>
      </c>
      <c r="AP35" s="40">
        <v>0</v>
      </c>
      <c r="AQ35" s="46">
        <v>0</v>
      </c>
      <c r="AR35" s="46">
        <v>0</v>
      </c>
      <c r="AS35" s="46">
        <v>0</v>
      </c>
      <c r="AT35" s="47">
        <v>0</v>
      </c>
      <c r="AU35" s="46" t="e">
        <f t="shared" ca="1" si="5"/>
        <v>#NAME?</v>
      </c>
      <c r="AV35" s="46">
        <v>0</v>
      </c>
      <c r="AW35" s="46">
        <v>0</v>
      </c>
      <c r="AX35" s="46">
        <v>0</v>
      </c>
      <c r="AY35" s="47">
        <v>0</v>
      </c>
      <c r="AZ35" s="48" t="e">
        <f t="shared" ref="AZ35:AZ66" ca="1" si="10">SUMA(AV35:AY35)</f>
        <v>#NAME?</v>
      </c>
      <c r="BA35" s="49"/>
      <c r="BB35" s="49"/>
      <c r="BC35" s="49" t="s">
        <v>65</v>
      </c>
      <c r="BD35" s="51"/>
    </row>
    <row r="36" spans="1:58" s="52" customFormat="1" ht="37.5" customHeight="1">
      <c r="A36" s="34">
        <v>7</v>
      </c>
      <c r="B36" s="35" t="s">
        <v>43</v>
      </c>
      <c r="C36" s="34">
        <v>1</v>
      </c>
      <c r="D36" s="113" t="s">
        <v>359</v>
      </c>
      <c r="E36" s="36" t="s">
        <v>44</v>
      </c>
      <c r="F36" s="34">
        <v>15</v>
      </c>
      <c r="G36" s="36" t="s">
        <v>199</v>
      </c>
      <c r="H36" s="37">
        <v>357</v>
      </c>
      <c r="I36" s="36" t="s">
        <v>204</v>
      </c>
      <c r="J36" s="38">
        <v>39</v>
      </c>
      <c r="K36" s="39" t="s">
        <v>205</v>
      </c>
      <c r="L36" s="38">
        <v>840</v>
      </c>
      <c r="M36" s="39" t="s">
        <v>201</v>
      </c>
      <c r="N36" s="38">
        <v>2</v>
      </c>
      <c r="O36" s="39" t="s">
        <v>56</v>
      </c>
      <c r="P36" s="40">
        <v>8000</v>
      </c>
      <c r="Q36" s="36" t="s">
        <v>63</v>
      </c>
      <c r="R36" s="36" t="s">
        <v>206</v>
      </c>
      <c r="S36" s="39" t="s">
        <v>383</v>
      </c>
      <c r="T36" s="39" t="s">
        <v>384</v>
      </c>
      <c r="U36" s="35" t="s">
        <v>52</v>
      </c>
      <c r="V36" s="41">
        <v>1</v>
      </c>
      <c r="W36" s="42">
        <f t="shared" si="6"/>
        <v>0.55574999999999997</v>
      </c>
      <c r="X36" s="42">
        <f t="shared" si="7"/>
        <v>0.55574999999999997</v>
      </c>
      <c r="Y36" s="42">
        <f t="shared" si="8"/>
        <v>0.52800000000000002</v>
      </c>
      <c r="Z36" s="42">
        <f t="shared" si="9"/>
        <v>0.52800000000000002</v>
      </c>
      <c r="AA36" s="38">
        <v>0</v>
      </c>
      <c r="AB36" s="40">
        <v>2000</v>
      </c>
      <c r="AC36" s="40">
        <v>2000</v>
      </c>
      <c r="AD36" s="40">
        <v>2000</v>
      </c>
      <c r="AE36" s="40">
        <v>2000</v>
      </c>
      <c r="AF36" s="40">
        <v>8000</v>
      </c>
      <c r="AG36" s="40">
        <v>2000</v>
      </c>
      <c r="AH36" s="40">
        <v>2000</v>
      </c>
      <c r="AI36" s="43">
        <v>446</v>
      </c>
      <c r="AJ36" s="44">
        <v>0</v>
      </c>
      <c r="AK36" s="40">
        <v>4446</v>
      </c>
      <c r="AL36" s="40">
        <v>2000</v>
      </c>
      <c r="AM36" s="43">
        <f>1700+524</f>
        <v>2224</v>
      </c>
      <c r="AN36" s="45">
        <v>0</v>
      </c>
      <c r="AO36" s="45">
        <v>0</v>
      </c>
      <c r="AP36" s="40">
        <v>4224</v>
      </c>
      <c r="AQ36" s="46">
        <v>127265605</v>
      </c>
      <c r="AR36" s="46">
        <v>202202016</v>
      </c>
      <c r="AS36" s="86">
        <v>95961143</v>
      </c>
      <c r="AT36" s="47">
        <v>0</v>
      </c>
      <c r="AU36" s="46" t="e">
        <f t="shared" ca="1" si="5"/>
        <v>#NAME?</v>
      </c>
      <c r="AV36" s="46">
        <v>0</v>
      </c>
      <c r="AW36" s="46">
        <v>0</v>
      </c>
      <c r="AX36" s="46">
        <v>38376686</v>
      </c>
      <c r="AY36" s="47">
        <v>0</v>
      </c>
      <c r="AZ36" s="48" t="e">
        <f t="shared" ca="1" si="10"/>
        <v>#NAME?</v>
      </c>
      <c r="BA36" s="49"/>
      <c r="BB36" s="49"/>
      <c r="BC36" s="49" t="s">
        <v>207</v>
      </c>
      <c r="BD36" s="51" t="s">
        <v>208</v>
      </c>
    </row>
    <row r="37" spans="1:58" s="52" customFormat="1" ht="37.5" customHeight="1">
      <c r="A37" s="34">
        <v>7</v>
      </c>
      <c r="B37" s="35" t="s">
        <v>43</v>
      </c>
      <c r="C37" s="34">
        <v>2</v>
      </c>
      <c r="D37" s="34" t="s">
        <v>360</v>
      </c>
      <c r="E37" s="36" t="s">
        <v>209</v>
      </c>
      <c r="F37" s="34">
        <v>17</v>
      </c>
      <c r="G37" s="36" t="s">
        <v>210</v>
      </c>
      <c r="H37" s="37">
        <v>358</v>
      </c>
      <c r="I37" s="36" t="s">
        <v>211</v>
      </c>
      <c r="J37" s="38">
        <v>59</v>
      </c>
      <c r="K37" s="39" t="s">
        <v>212</v>
      </c>
      <c r="L37" s="38">
        <v>841</v>
      </c>
      <c r="M37" s="39" t="s">
        <v>213</v>
      </c>
      <c r="N37" s="38">
        <v>1</v>
      </c>
      <c r="O37" s="39" t="s">
        <v>214</v>
      </c>
      <c r="P37" s="40">
        <v>8000</v>
      </c>
      <c r="Q37" s="36" t="s">
        <v>215</v>
      </c>
      <c r="R37" s="36" t="s">
        <v>216</v>
      </c>
      <c r="S37" s="39" t="s">
        <v>385</v>
      </c>
      <c r="T37" s="39" t="s">
        <v>386</v>
      </c>
      <c r="U37" s="35" t="s">
        <v>52</v>
      </c>
      <c r="V37" s="41">
        <v>1</v>
      </c>
      <c r="W37" s="42">
        <f t="shared" si="6"/>
        <v>0.6875</v>
      </c>
      <c r="X37" s="42">
        <f t="shared" si="7"/>
        <v>0.6875</v>
      </c>
      <c r="Y37" s="42">
        <f t="shared" si="8"/>
        <v>0.75</v>
      </c>
      <c r="Z37" s="42">
        <f t="shared" si="9"/>
        <v>0.75</v>
      </c>
      <c r="AA37" s="38">
        <v>0</v>
      </c>
      <c r="AB37" s="40">
        <v>2000</v>
      </c>
      <c r="AC37" s="40">
        <v>2000</v>
      </c>
      <c r="AD37" s="40">
        <v>2000</v>
      </c>
      <c r="AE37" s="40">
        <v>2000</v>
      </c>
      <c r="AF37" s="40">
        <v>8000</v>
      </c>
      <c r="AG37" s="40">
        <v>2500</v>
      </c>
      <c r="AH37" s="40">
        <v>0</v>
      </c>
      <c r="AI37" s="43">
        <v>3000</v>
      </c>
      <c r="AJ37" s="44">
        <v>0</v>
      </c>
      <c r="AK37" s="40">
        <v>5500</v>
      </c>
      <c r="AL37" s="40">
        <v>3000</v>
      </c>
      <c r="AM37" s="43">
        <v>0</v>
      </c>
      <c r="AN37" s="45">
        <v>3000</v>
      </c>
      <c r="AO37" s="45">
        <v>0</v>
      </c>
      <c r="AP37" s="40">
        <v>6000</v>
      </c>
      <c r="AQ37" s="46">
        <v>300000000</v>
      </c>
      <c r="AR37" s="46">
        <v>0</v>
      </c>
      <c r="AS37" s="46">
        <v>857259098</v>
      </c>
      <c r="AT37" s="47">
        <f>334697552+52953618</f>
        <v>387651170</v>
      </c>
      <c r="AU37" s="46" t="e">
        <f t="shared" ca="1" si="5"/>
        <v>#NAME?</v>
      </c>
      <c r="AV37" s="46">
        <v>0</v>
      </c>
      <c r="AW37" s="46">
        <v>0</v>
      </c>
      <c r="AX37" s="46">
        <v>311131468</v>
      </c>
      <c r="AY37" s="47">
        <v>0</v>
      </c>
      <c r="AZ37" s="48" t="e">
        <f t="shared" ca="1" si="10"/>
        <v>#NAME?</v>
      </c>
      <c r="BA37" s="49"/>
      <c r="BB37" s="49"/>
      <c r="BC37" s="49" t="s">
        <v>217</v>
      </c>
      <c r="BD37" s="51" t="s">
        <v>218</v>
      </c>
    </row>
    <row r="38" spans="1:58" s="52" customFormat="1" ht="37.5" customHeight="1">
      <c r="A38" s="34">
        <v>7</v>
      </c>
      <c r="B38" s="35" t="s">
        <v>43</v>
      </c>
      <c r="C38" s="34">
        <v>2</v>
      </c>
      <c r="D38" s="34" t="s">
        <v>360</v>
      </c>
      <c r="E38" s="36" t="s">
        <v>209</v>
      </c>
      <c r="F38" s="34">
        <v>17</v>
      </c>
      <c r="G38" s="36" t="s">
        <v>210</v>
      </c>
      <c r="H38" s="37">
        <v>359</v>
      </c>
      <c r="I38" s="36" t="s">
        <v>219</v>
      </c>
      <c r="J38" s="38">
        <v>45</v>
      </c>
      <c r="K38" s="39" t="s">
        <v>220</v>
      </c>
      <c r="L38" s="38">
        <v>841</v>
      </c>
      <c r="M38" s="39" t="s">
        <v>213</v>
      </c>
      <c r="N38" s="38">
        <v>2</v>
      </c>
      <c r="O38" s="39" t="s">
        <v>221</v>
      </c>
      <c r="P38" s="40">
        <v>320000</v>
      </c>
      <c r="Q38" s="36" t="s">
        <v>222</v>
      </c>
      <c r="R38" s="36" t="s">
        <v>223</v>
      </c>
      <c r="S38" s="39" t="s">
        <v>385</v>
      </c>
      <c r="T38" s="39" t="s">
        <v>387</v>
      </c>
      <c r="U38" s="35" t="s">
        <v>52</v>
      </c>
      <c r="V38" s="41">
        <v>1</v>
      </c>
      <c r="W38" s="42">
        <f t="shared" si="6"/>
        <v>0.58703125</v>
      </c>
      <c r="X38" s="42">
        <f t="shared" si="7"/>
        <v>0.58703125</v>
      </c>
      <c r="Y38" s="42">
        <f t="shared" si="8"/>
        <v>0.72962499999999997</v>
      </c>
      <c r="Z38" s="42">
        <f t="shared" si="9"/>
        <v>0.72962499999999997</v>
      </c>
      <c r="AA38" s="38">
        <v>0</v>
      </c>
      <c r="AB38" s="40">
        <v>80000</v>
      </c>
      <c r="AC38" s="40">
        <v>80000</v>
      </c>
      <c r="AD38" s="40">
        <v>80000</v>
      </c>
      <c r="AE38" s="40">
        <v>80000</v>
      </c>
      <c r="AF38" s="40">
        <v>320000</v>
      </c>
      <c r="AG38" s="40">
        <v>80000</v>
      </c>
      <c r="AH38" s="40">
        <v>90000</v>
      </c>
      <c r="AI38" s="43">
        <v>17850</v>
      </c>
      <c r="AJ38" s="44">
        <v>0</v>
      </c>
      <c r="AK38" s="40">
        <v>187850</v>
      </c>
      <c r="AL38" s="40">
        <v>96910</v>
      </c>
      <c r="AM38" s="43">
        <v>108000</v>
      </c>
      <c r="AN38" s="45">
        <f>17850+10720</f>
        <v>28570</v>
      </c>
      <c r="AO38" s="45">
        <v>0</v>
      </c>
      <c r="AP38" s="40">
        <v>233480</v>
      </c>
      <c r="AQ38" s="46">
        <v>150000000</v>
      </c>
      <c r="AR38" s="46">
        <v>2975629230</v>
      </c>
      <c r="AS38" s="86">
        <f>9000000+136232768+300984091+75646368</f>
        <v>521863227</v>
      </c>
      <c r="AT38" s="47">
        <v>0</v>
      </c>
      <c r="AU38" s="46" t="e">
        <f t="shared" ref="AU38:AU69" ca="1" si="11">SUMA(AQ38:AT38)</f>
        <v>#NAME?</v>
      </c>
      <c r="AV38" s="46">
        <v>0</v>
      </c>
      <c r="AW38" s="46">
        <v>0</v>
      </c>
      <c r="AX38" s="46">
        <v>600000</v>
      </c>
      <c r="AY38" s="47">
        <v>0</v>
      </c>
      <c r="AZ38" s="48" t="e">
        <f t="shared" ca="1" si="10"/>
        <v>#NAME?</v>
      </c>
      <c r="BA38" s="49"/>
      <c r="BB38" s="49"/>
      <c r="BC38" s="49" t="s">
        <v>217</v>
      </c>
      <c r="BD38" s="51"/>
    </row>
    <row r="39" spans="1:58" s="52" customFormat="1" ht="37.5" customHeight="1">
      <c r="A39" s="34">
        <v>7</v>
      </c>
      <c r="B39" s="35" t="s">
        <v>43</v>
      </c>
      <c r="C39" s="34">
        <v>2</v>
      </c>
      <c r="D39" s="34" t="s">
        <v>360</v>
      </c>
      <c r="E39" s="36" t="s">
        <v>209</v>
      </c>
      <c r="F39" s="34">
        <v>17</v>
      </c>
      <c r="G39" s="36" t="s">
        <v>210</v>
      </c>
      <c r="H39" s="37">
        <v>360</v>
      </c>
      <c r="I39" s="36" t="s">
        <v>224</v>
      </c>
      <c r="J39" s="38">
        <v>41</v>
      </c>
      <c r="K39" s="39" t="s">
        <v>225</v>
      </c>
      <c r="L39" s="38">
        <v>841</v>
      </c>
      <c r="M39" s="39" t="s">
        <v>213</v>
      </c>
      <c r="N39" s="38">
        <v>3</v>
      </c>
      <c r="O39" s="39" t="s">
        <v>56</v>
      </c>
      <c r="P39" s="40">
        <v>2000</v>
      </c>
      <c r="Q39" s="36" t="s">
        <v>63</v>
      </c>
      <c r="R39" s="36" t="s">
        <v>226</v>
      </c>
      <c r="S39" s="39" t="s">
        <v>385</v>
      </c>
      <c r="T39" s="39" t="s">
        <v>387</v>
      </c>
      <c r="U39" s="35" t="s">
        <v>52</v>
      </c>
      <c r="V39" s="41">
        <v>1</v>
      </c>
      <c r="W39" s="42">
        <f t="shared" si="6"/>
        <v>1</v>
      </c>
      <c r="X39" s="42">
        <f t="shared" si="7"/>
        <v>1</v>
      </c>
      <c r="Y39" s="42">
        <f t="shared" si="8"/>
        <v>1.4</v>
      </c>
      <c r="Z39" s="42">
        <f t="shared" si="9"/>
        <v>1.4</v>
      </c>
      <c r="AA39" s="38">
        <v>0</v>
      </c>
      <c r="AB39" s="40">
        <v>500</v>
      </c>
      <c r="AC39" s="40">
        <v>500</v>
      </c>
      <c r="AD39" s="40">
        <v>500</v>
      </c>
      <c r="AE39" s="40">
        <v>500</v>
      </c>
      <c r="AF39" s="40">
        <v>2000</v>
      </c>
      <c r="AG39" s="40">
        <v>500</v>
      </c>
      <c r="AH39" s="40">
        <v>1500</v>
      </c>
      <c r="AI39" s="43">
        <v>0</v>
      </c>
      <c r="AJ39" s="44">
        <v>0</v>
      </c>
      <c r="AK39" s="40">
        <v>2000</v>
      </c>
      <c r="AL39" s="40">
        <f>400+200+500</f>
        <v>1100</v>
      </c>
      <c r="AM39" s="43">
        <v>1700</v>
      </c>
      <c r="AN39" s="45">
        <v>0</v>
      </c>
      <c r="AO39" s="45">
        <v>0</v>
      </c>
      <c r="AP39" s="40">
        <v>2800</v>
      </c>
      <c r="AQ39" s="46">
        <v>300000000</v>
      </c>
      <c r="AR39" s="46">
        <v>323370743</v>
      </c>
      <c r="AS39" s="46">
        <v>0</v>
      </c>
      <c r="AT39" s="47">
        <v>0</v>
      </c>
      <c r="AU39" s="46" t="e">
        <f t="shared" ca="1" si="11"/>
        <v>#NAME?</v>
      </c>
      <c r="AV39" s="46">
        <v>0</v>
      </c>
      <c r="AW39" s="46">
        <v>0</v>
      </c>
      <c r="AX39" s="46">
        <v>0</v>
      </c>
      <c r="AY39" s="47">
        <v>0</v>
      </c>
      <c r="AZ39" s="48" t="e">
        <f t="shared" ca="1" si="10"/>
        <v>#NAME?</v>
      </c>
      <c r="BA39" s="49"/>
      <c r="BB39" s="49"/>
      <c r="BC39" s="49" t="s">
        <v>217</v>
      </c>
      <c r="BD39" s="51"/>
    </row>
    <row r="40" spans="1:58" s="52" customFormat="1" ht="37.5" customHeight="1">
      <c r="A40" s="34">
        <v>7</v>
      </c>
      <c r="B40" s="35" t="s">
        <v>43</v>
      </c>
      <c r="C40" s="34">
        <v>2</v>
      </c>
      <c r="D40" s="34" t="s">
        <v>360</v>
      </c>
      <c r="E40" s="36" t="s">
        <v>209</v>
      </c>
      <c r="F40" s="34">
        <v>17</v>
      </c>
      <c r="G40" s="36" t="s">
        <v>210</v>
      </c>
      <c r="H40" s="37">
        <v>361</v>
      </c>
      <c r="I40" s="36" t="s">
        <v>227</v>
      </c>
      <c r="J40" s="38">
        <v>41</v>
      </c>
      <c r="K40" s="39" t="s">
        <v>225</v>
      </c>
      <c r="L40" s="38">
        <v>841</v>
      </c>
      <c r="M40" s="39" t="s">
        <v>213</v>
      </c>
      <c r="N40" s="38">
        <v>4</v>
      </c>
      <c r="O40" s="39" t="s">
        <v>56</v>
      </c>
      <c r="P40" s="40">
        <v>80</v>
      </c>
      <c r="Q40" s="36" t="s">
        <v>63</v>
      </c>
      <c r="R40" s="36" t="s">
        <v>228</v>
      </c>
      <c r="S40" s="39" t="s">
        <v>385</v>
      </c>
      <c r="T40" s="39" t="s">
        <v>387</v>
      </c>
      <c r="U40" s="35" t="s">
        <v>52</v>
      </c>
      <c r="V40" s="41">
        <v>1</v>
      </c>
      <c r="W40" s="42">
        <f t="shared" si="6"/>
        <v>1.25</v>
      </c>
      <c r="X40" s="42">
        <f t="shared" si="7"/>
        <v>1.25</v>
      </c>
      <c r="Y40" s="42">
        <f t="shared" si="8"/>
        <v>0.75</v>
      </c>
      <c r="Z40" s="42">
        <f t="shared" si="9"/>
        <v>0.75</v>
      </c>
      <c r="AA40" s="38">
        <v>0</v>
      </c>
      <c r="AB40" s="40">
        <v>20</v>
      </c>
      <c r="AC40" s="40">
        <v>20</v>
      </c>
      <c r="AD40" s="40">
        <v>20</v>
      </c>
      <c r="AE40" s="40">
        <v>20</v>
      </c>
      <c r="AF40" s="40">
        <v>80</v>
      </c>
      <c r="AG40" s="40">
        <v>20</v>
      </c>
      <c r="AH40" s="40">
        <v>20</v>
      </c>
      <c r="AI40" s="43">
        <v>20</v>
      </c>
      <c r="AJ40" s="44">
        <v>40</v>
      </c>
      <c r="AK40" s="40">
        <v>100</v>
      </c>
      <c r="AL40" s="40">
        <v>20</v>
      </c>
      <c r="AM40" s="43">
        <v>20</v>
      </c>
      <c r="AN40" s="45">
        <v>20</v>
      </c>
      <c r="AO40" s="45">
        <v>0</v>
      </c>
      <c r="AP40" s="40">
        <v>60</v>
      </c>
      <c r="AQ40" s="46">
        <v>210000000</v>
      </c>
      <c r="AR40" s="46">
        <v>289000027</v>
      </c>
      <c r="AS40" s="46">
        <v>420877675</v>
      </c>
      <c r="AT40" s="47">
        <v>650000000</v>
      </c>
      <c r="AU40" s="46" t="e">
        <f t="shared" ca="1" si="11"/>
        <v>#NAME?</v>
      </c>
      <c r="AV40" s="46">
        <v>0</v>
      </c>
      <c r="AW40" s="46">
        <v>139680005</v>
      </c>
      <c r="AX40" s="46">
        <v>205261285</v>
      </c>
      <c r="AY40" s="47">
        <v>0</v>
      </c>
      <c r="AZ40" s="48" t="e">
        <f t="shared" ca="1" si="10"/>
        <v>#NAME?</v>
      </c>
      <c r="BA40" s="49"/>
      <c r="BB40" s="49"/>
      <c r="BC40" s="49" t="s">
        <v>217</v>
      </c>
      <c r="BD40" s="51"/>
      <c r="BF40" s="52">
        <f>1000000000-221000000</f>
        <v>779000000</v>
      </c>
    </row>
    <row r="41" spans="1:58" s="52" customFormat="1" ht="37.5" customHeight="1">
      <c r="A41" s="34">
        <v>7</v>
      </c>
      <c r="B41" s="35" t="s">
        <v>43</v>
      </c>
      <c r="C41" s="34">
        <v>2</v>
      </c>
      <c r="D41" s="34" t="s">
        <v>360</v>
      </c>
      <c r="E41" s="36" t="s">
        <v>209</v>
      </c>
      <c r="F41" s="34">
        <v>17</v>
      </c>
      <c r="G41" s="36" t="s">
        <v>210</v>
      </c>
      <c r="H41" s="37">
        <v>362</v>
      </c>
      <c r="I41" s="36" t="s">
        <v>229</v>
      </c>
      <c r="J41" s="38">
        <v>6</v>
      </c>
      <c r="K41" s="39" t="s">
        <v>230</v>
      </c>
      <c r="L41" s="38">
        <v>841</v>
      </c>
      <c r="M41" s="39" t="s">
        <v>213</v>
      </c>
      <c r="N41" s="38">
        <v>5</v>
      </c>
      <c r="O41" s="39" t="s">
        <v>231</v>
      </c>
      <c r="P41" s="40">
        <v>20000</v>
      </c>
      <c r="Q41" s="36" t="s">
        <v>222</v>
      </c>
      <c r="R41" s="36" t="s">
        <v>232</v>
      </c>
      <c r="S41" s="39" t="s">
        <v>365</v>
      </c>
      <c r="T41" s="39" t="s">
        <v>388</v>
      </c>
      <c r="U41" s="35" t="s">
        <v>52</v>
      </c>
      <c r="V41" s="41">
        <v>1</v>
      </c>
      <c r="W41" s="42">
        <f t="shared" si="6"/>
        <v>9.6</v>
      </c>
      <c r="X41" s="42">
        <f t="shared" si="7"/>
        <v>9.6</v>
      </c>
      <c r="Y41" s="42">
        <f t="shared" si="8"/>
        <v>4</v>
      </c>
      <c r="Z41" s="42">
        <f t="shared" si="9"/>
        <v>4</v>
      </c>
      <c r="AA41" s="38">
        <v>0</v>
      </c>
      <c r="AB41" s="40">
        <v>5000</v>
      </c>
      <c r="AC41" s="40">
        <v>5000</v>
      </c>
      <c r="AD41" s="40">
        <v>5000</v>
      </c>
      <c r="AE41" s="40">
        <v>5000</v>
      </c>
      <c r="AF41" s="40">
        <v>20000</v>
      </c>
      <c r="AG41" s="40">
        <v>80000</v>
      </c>
      <c r="AH41" s="40">
        <v>0</v>
      </c>
      <c r="AI41" s="43">
        <v>0</v>
      </c>
      <c r="AJ41" s="44">
        <v>112000</v>
      </c>
      <c r="AK41" s="40">
        <v>192000</v>
      </c>
      <c r="AL41" s="40">
        <v>80000</v>
      </c>
      <c r="AM41" s="43">
        <v>0</v>
      </c>
      <c r="AN41" s="45">
        <v>0</v>
      </c>
      <c r="AO41" s="45">
        <v>0</v>
      </c>
      <c r="AP41" s="40">
        <v>80000</v>
      </c>
      <c r="AQ41" s="46">
        <f>145000000+12000000</f>
        <v>157000000</v>
      </c>
      <c r="AR41" s="46">
        <v>0</v>
      </c>
      <c r="AS41" s="46">
        <v>0</v>
      </c>
      <c r="AT41" s="47">
        <v>274693000</v>
      </c>
      <c r="AU41" s="46" t="e">
        <f t="shared" ca="1" si="11"/>
        <v>#NAME?</v>
      </c>
      <c r="AV41" s="46">
        <v>0</v>
      </c>
      <c r="AW41" s="46">
        <v>0</v>
      </c>
      <c r="AX41" s="46">
        <v>0</v>
      </c>
      <c r="AY41" s="47">
        <v>0</v>
      </c>
      <c r="AZ41" s="48" t="e">
        <f t="shared" ca="1" si="10"/>
        <v>#NAME?</v>
      </c>
      <c r="BA41" s="49"/>
      <c r="BB41" s="49"/>
      <c r="BC41" s="49" t="s">
        <v>65</v>
      </c>
      <c r="BD41" s="51" t="s">
        <v>233</v>
      </c>
    </row>
    <row r="42" spans="1:58" s="52" customFormat="1" ht="37.5" customHeight="1">
      <c r="A42" s="34">
        <v>7</v>
      </c>
      <c r="B42" s="35" t="s">
        <v>43</v>
      </c>
      <c r="C42" s="34">
        <v>2</v>
      </c>
      <c r="D42" s="34" t="s">
        <v>360</v>
      </c>
      <c r="E42" s="36" t="s">
        <v>209</v>
      </c>
      <c r="F42" s="34">
        <v>19</v>
      </c>
      <c r="G42" s="36" t="s">
        <v>234</v>
      </c>
      <c r="H42" s="37">
        <v>363</v>
      </c>
      <c r="I42" s="36" t="s">
        <v>235</v>
      </c>
      <c r="J42" s="38">
        <v>46</v>
      </c>
      <c r="K42" s="39" t="s">
        <v>236</v>
      </c>
      <c r="L42" s="38">
        <v>843</v>
      </c>
      <c r="M42" s="39" t="s">
        <v>237</v>
      </c>
      <c r="N42" s="38">
        <v>1</v>
      </c>
      <c r="O42" s="39" t="s">
        <v>238</v>
      </c>
      <c r="P42" s="40">
        <v>46</v>
      </c>
      <c r="Q42" s="36" t="s">
        <v>239</v>
      </c>
      <c r="R42" s="36" t="s">
        <v>240</v>
      </c>
      <c r="S42" s="39" t="s">
        <v>389</v>
      </c>
      <c r="T42" s="39" t="s">
        <v>390</v>
      </c>
      <c r="U42" s="35" t="s">
        <v>52</v>
      </c>
      <c r="V42" s="41">
        <v>1</v>
      </c>
      <c r="W42" s="42">
        <f t="shared" si="6"/>
        <v>1.4238162391304348</v>
      </c>
      <c r="X42" s="42">
        <f t="shared" si="7"/>
        <v>1.4238162391304348</v>
      </c>
      <c r="Y42" s="42">
        <f t="shared" si="8"/>
        <v>1.0452173913043479</v>
      </c>
      <c r="Z42" s="42">
        <f t="shared" si="9"/>
        <v>1.0452173913043479</v>
      </c>
      <c r="AA42" s="38">
        <v>25</v>
      </c>
      <c r="AB42" s="87" t="s">
        <v>241</v>
      </c>
      <c r="AC42" s="87" t="s">
        <v>241</v>
      </c>
      <c r="AD42" s="87" t="s">
        <v>241</v>
      </c>
      <c r="AE42" s="87" t="s">
        <v>241</v>
      </c>
      <c r="AF42" s="40">
        <v>0</v>
      </c>
      <c r="AG42" s="88">
        <f>12+1.09</f>
        <v>13.09</v>
      </c>
      <c r="AH42" s="88">
        <f>19.43+2.3</f>
        <v>21.73</v>
      </c>
      <c r="AI42" s="89">
        <v>13.5</v>
      </c>
      <c r="AJ42" s="90">
        <v>17.175547000000002</v>
      </c>
      <c r="AK42" s="91">
        <v>65.495547000000002</v>
      </c>
      <c r="AL42" s="88">
        <v>19.48</v>
      </c>
      <c r="AM42" s="92">
        <f>15.1</f>
        <v>15.1</v>
      </c>
      <c r="AN42" s="93">
        <v>13.5</v>
      </c>
      <c r="AO42" s="45">
        <v>0</v>
      </c>
      <c r="AP42" s="40">
        <v>48.08</v>
      </c>
      <c r="AQ42" s="46">
        <v>19904729352</v>
      </c>
      <c r="AR42" s="46">
        <v>24228862803</v>
      </c>
      <c r="AS42" s="46">
        <v>20380358352</v>
      </c>
      <c r="AT42" s="47">
        <f>18683889019+1868344720+3533987842.5</f>
        <v>24086221581.5</v>
      </c>
      <c r="AU42" s="46" t="e">
        <f t="shared" ca="1" si="11"/>
        <v>#NAME?</v>
      </c>
      <c r="AV42" s="94">
        <v>4726547954</v>
      </c>
      <c r="AW42" s="46">
        <v>11536569384</v>
      </c>
      <c r="AX42" s="46">
        <v>10577770567</v>
      </c>
      <c r="AY42" s="47">
        <f>3736777804+641991496.27873</f>
        <v>4378769300.2787304</v>
      </c>
      <c r="AZ42" s="48" t="e">
        <f t="shared" ca="1" si="10"/>
        <v>#NAME?</v>
      </c>
      <c r="BA42" s="49"/>
      <c r="BB42" s="49"/>
      <c r="BC42" s="49" t="s">
        <v>242</v>
      </c>
      <c r="BD42" s="51" t="s">
        <v>243</v>
      </c>
      <c r="BF42" s="52">
        <v>950000000</v>
      </c>
    </row>
    <row r="43" spans="1:58" s="52" customFormat="1" ht="37.5" customHeight="1">
      <c r="A43" s="34">
        <v>7</v>
      </c>
      <c r="B43" s="35" t="s">
        <v>43</v>
      </c>
      <c r="C43" s="34">
        <v>2</v>
      </c>
      <c r="D43" s="34" t="s">
        <v>360</v>
      </c>
      <c r="E43" s="36" t="s">
        <v>209</v>
      </c>
      <c r="F43" s="34">
        <v>19</v>
      </c>
      <c r="G43" s="36" t="s">
        <v>234</v>
      </c>
      <c r="H43" s="37">
        <v>364</v>
      </c>
      <c r="I43" s="36" t="s">
        <v>244</v>
      </c>
      <c r="J43" s="38">
        <v>50</v>
      </c>
      <c r="K43" s="39" t="s">
        <v>245</v>
      </c>
      <c r="L43" s="38">
        <v>843</v>
      </c>
      <c r="M43" s="39" t="s">
        <v>246</v>
      </c>
      <c r="N43" s="38">
        <v>2</v>
      </c>
      <c r="O43" s="39" t="s">
        <v>247</v>
      </c>
      <c r="P43" s="40">
        <v>8400</v>
      </c>
      <c r="Q43" s="36" t="s">
        <v>222</v>
      </c>
      <c r="R43" s="36" t="s">
        <v>248</v>
      </c>
      <c r="S43" s="39" t="s">
        <v>389</v>
      </c>
      <c r="T43" s="39" t="s">
        <v>391</v>
      </c>
      <c r="U43" s="35" t="s">
        <v>52</v>
      </c>
      <c r="V43" s="41">
        <v>1</v>
      </c>
      <c r="W43" s="42">
        <f t="shared" si="6"/>
        <v>1.1195630952380953</v>
      </c>
      <c r="X43" s="42">
        <f t="shared" si="7"/>
        <v>1.1195630952380953</v>
      </c>
      <c r="Y43" s="42">
        <f t="shared" si="8"/>
        <v>0</v>
      </c>
      <c r="Z43" s="42">
        <f t="shared" si="9"/>
        <v>0</v>
      </c>
      <c r="AA43" s="38">
        <v>0</v>
      </c>
      <c r="AB43" s="40">
        <v>2100</v>
      </c>
      <c r="AC43" s="40">
        <v>2100</v>
      </c>
      <c r="AD43" s="40">
        <v>2100</v>
      </c>
      <c r="AE43" s="40">
        <v>2100</v>
      </c>
      <c r="AF43" s="40">
        <v>8400</v>
      </c>
      <c r="AG43" s="40">
        <v>0</v>
      </c>
      <c r="AH43" s="40">
        <v>0</v>
      </c>
      <c r="AI43" s="43">
        <v>2800</v>
      </c>
      <c r="AJ43" s="95">
        <v>6604.33</v>
      </c>
      <c r="AK43" s="40">
        <v>9404.33</v>
      </c>
      <c r="AL43" s="40">
        <v>0</v>
      </c>
      <c r="AM43" s="43">
        <v>0</v>
      </c>
      <c r="AN43" s="45">
        <v>0</v>
      </c>
      <c r="AO43" s="45">
        <v>0</v>
      </c>
      <c r="AP43" s="40">
        <v>0</v>
      </c>
      <c r="AQ43" s="46">
        <v>50000000</v>
      </c>
      <c r="AR43" s="46">
        <v>89177197</v>
      </c>
      <c r="AS43" s="46">
        <v>1500000000</v>
      </c>
      <c r="AT43" s="47">
        <v>2755865256</v>
      </c>
      <c r="AU43" s="46" t="e">
        <f t="shared" ca="1" si="11"/>
        <v>#NAME?</v>
      </c>
      <c r="AV43" s="46">
        <v>0</v>
      </c>
      <c r="AW43" s="46">
        <v>0</v>
      </c>
      <c r="AX43" s="46">
        <v>0</v>
      </c>
      <c r="AY43" s="47">
        <v>500636147.63043898</v>
      </c>
      <c r="AZ43" s="48" t="e">
        <f t="shared" ca="1" si="10"/>
        <v>#NAME?</v>
      </c>
      <c r="BA43" s="49"/>
      <c r="BB43" s="49"/>
      <c r="BC43" s="49" t="s">
        <v>242</v>
      </c>
      <c r="BD43" s="51" t="s">
        <v>249</v>
      </c>
      <c r="BF43" s="52">
        <v>200000000</v>
      </c>
    </row>
    <row r="44" spans="1:58" s="52" customFormat="1" ht="37.5" customHeight="1">
      <c r="A44" s="34">
        <v>7</v>
      </c>
      <c r="B44" s="35" t="s">
        <v>43</v>
      </c>
      <c r="C44" s="34">
        <v>2</v>
      </c>
      <c r="D44" s="34" t="s">
        <v>360</v>
      </c>
      <c r="E44" s="36" t="s">
        <v>209</v>
      </c>
      <c r="F44" s="34">
        <v>20</v>
      </c>
      <c r="G44" s="36" t="s">
        <v>250</v>
      </c>
      <c r="H44" s="37">
        <v>365</v>
      </c>
      <c r="I44" s="36" t="s">
        <v>251</v>
      </c>
      <c r="J44" s="38">
        <v>55</v>
      </c>
      <c r="K44" s="39" t="s">
        <v>252</v>
      </c>
      <c r="L44" s="38">
        <v>844</v>
      </c>
      <c r="M44" s="39" t="s">
        <v>253</v>
      </c>
      <c r="N44" s="38">
        <v>2</v>
      </c>
      <c r="O44" s="39" t="s">
        <v>254</v>
      </c>
      <c r="P44" s="40">
        <v>15000</v>
      </c>
      <c r="Q44" s="36" t="s">
        <v>255</v>
      </c>
      <c r="R44" s="36" t="s">
        <v>256</v>
      </c>
      <c r="S44" s="39" t="s">
        <v>373</v>
      </c>
      <c r="T44" s="39" t="s">
        <v>392</v>
      </c>
      <c r="U44" s="35" t="s">
        <v>85</v>
      </c>
      <c r="V44" s="41">
        <v>1</v>
      </c>
      <c r="W44" s="42">
        <f t="shared" si="6"/>
        <v>1</v>
      </c>
      <c r="X44" s="42">
        <f t="shared" si="7"/>
        <v>1</v>
      </c>
      <c r="Y44" s="42">
        <f t="shared" si="8"/>
        <v>0.75</v>
      </c>
      <c r="Z44" s="42">
        <f t="shared" si="9"/>
        <v>0.75</v>
      </c>
      <c r="AA44" s="38">
        <v>0</v>
      </c>
      <c r="AB44" s="40">
        <v>15000</v>
      </c>
      <c r="AC44" s="40">
        <v>15000</v>
      </c>
      <c r="AD44" s="40">
        <v>15000</v>
      </c>
      <c r="AE44" s="40">
        <v>15000</v>
      </c>
      <c r="AF44" s="40">
        <v>15000</v>
      </c>
      <c r="AG44" s="40">
        <v>15000</v>
      </c>
      <c r="AH44" s="40">
        <v>15000</v>
      </c>
      <c r="AI44" s="43">
        <v>15000</v>
      </c>
      <c r="AJ44" s="44">
        <v>15000</v>
      </c>
      <c r="AK44" s="40">
        <v>15000</v>
      </c>
      <c r="AL44" s="40">
        <v>15000</v>
      </c>
      <c r="AM44" s="43">
        <f>14000+1000</f>
        <v>15000</v>
      </c>
      <c r="AN44" s="45">
        <f>2000+13000</f>
        <v>15000</v>
      </c>
      <c r="AO44" s="45">
        <v>0</v>
      </c>
      <c r="AP44" s="40">
        <v>11250</v>
      </c>
      <c r="AQ44" s="46">
        <v>400000000</v>
      </c>
      <c r="AR44" s="46">
        <v>527948000</v>
      </c>
      <c r="AS44" s="46">
        <v>346777635</v>
      </c>
      <c r="AT44" s="47">
        <v>525249598.25695902</v>
      </c>
      <c r="AU44" s="46" t="e">
        <f t="shared" ca="1" si="11"/>
        <v>#NAME?</v>
      </c>
      <c r="AV44" s="46">
        <v>0</v>
      </c>
      <c r="AW44" s="46">
        <v>0</v>
      </c>
      <c r="AX44" s="46">
        <v>6171429</v>
      </c>
      <c r="AY44" s="47">
        <v>0</v>
      </c>
      <c r="AZ44" s="48" t="e">
        <f t="shared" ca="1" si="10"/>
        <v>#NAME?</v>
      </c>
      <c r="BA44" s="49"/>
      <c r="BB44" s="49"/>
      <c r="BC44" s="49" t="s">
        <v>257</v>
      </c>
      <c r="BD44" s="51"/>
      <c r="BF44" s="52">
        <v>347000000</v>
      </c>
    </row>
    <row r="45" spans="1:58" s="52" customFormat="1" ht="37.5" customHeight="1">
      <c r="A45" s="34">
        <v>7</v>
      </c>
      <c r="B45" s="35" t="s">
        <v>43</v>
      </c>
      <c r="C45" s="34">
        <v>2</v>
      </c>
      <c r="D45" s="34" t="s">
        <v>360</v>
      </c>
      <c r="E45" s="36" t="s">
        <v>209</v>
      </c>
      <c r="F45" s="34">
        <v>20</v>
      </c>
      <c r="G45" s="36" t="s">
        <v>250</v>
      </c>
      <c r="H45" s="37">
        <v>366</v>
      </c>
      <c r="I45" s="36" t="s">
        <v>258</v>
      </c>
      <c r="J45" s="38">
        <v>56</v>
      </c>
      <c r="K45" s="39" t="s">
        <v>259</v>
      </c>
      <c r="L45" s="38">
        <v>844</v>
      </c>
      <c r="M45" s="39" t="s">
        <v>253</v>
      </c>
      <c r="N45" s="38">
        <v>1</v>
      </c>
      <c r="O45" s="39" t="s">
        <v>260</v>
      </c>
      <c r="P45" s="40">
        <v>1</v>
      </c>
      <c r="Q45" s="36" t="s">
        <v>261</v>
      </c>
      <c r="R45" s="36" t="s">
        <v>262</v>
      </c>
      <c r="S45" s="39" t="s">
        <v>373</v>
      </c>
      <c r="T45" s="39" t="s">
        <v>392</v>
      </c>
      <c r="U45" s="35" t="s">
        <v>85</v>
      </c>
      <c r="V45" s="41">
        <v>1</v>
      </c>
      <c r="W45" s="42">
        <f t="shared" si="6"/>
        <v>1</v>
      </c>
      <c r="X45" s="42">
        <f t="shared" si="7"/>
        <v>1</v>
      </c>
      <c r="Y45" s="42">
        <f t="shared" si="8"/>
        <v>0.75</v>
      </c>
      <c r="Z45" s="42">
        <f t="shared" si="9"/>
        <v>0.75</v>
      </c>
      <c r="AA45" s="38">
        <v>1</v>
      </c>
      <c r="AB45" s="40">
        <v>1</v>
      </c>
      <c r="AC45" s="40">
        <v>1</v>
      </c>
      <c r="AD45" s="40">
        <v>1</v>
      </c>
      <c r="AE45" s="40">
        <v>1</v>
      </c>
      <c r="AF45" s="40">
        <v>1</v>
      </c>
      <c r="AG45" s="40">
        <v>1</v>
      </c>
      <c r="AH45" s="40">
        <v>1</v>
      </c>
      <c r="AI45" s="43">
        <v>1</v>
      </c>
      <c r="AJ45" s="44">
        <v>1</v>
      </c>
      <c r="AK45" s="40">
        <v>1</v>
      </c>
      <c r="AL45" s="40">
        <v>1</v>
      </c>
      <c r="AM45" s="43">
        <v>1</v>
      </c>
      <c r="AN45" s="45">
        <v>1</v>
      </c>
      <c r="AO45" s="45">
        <v>0</v>
      </c>
      <c r="AP45" s="88">
        <v>0.75</v>
      </c>
      <c r="AQ45" s="46">
        <v>299996849</v>
      </c>
      <c r="AR45" s="46">
        <v>299898200</v>
      </c>
      <c r="AS45" s="46">
        <v>199981000</v>
      </c>
      <c r="AT45" s="47">
        <v>98380108.656962395</v>
      </c>
      <c r="AU45" s="46" t="e">
        <f t="shared" ca="1" si="11"/>
        <v>#NAME?</v>
      </c>
      <c r="AV45" s="46">
        <v>299996849</v>
      </c>
      <c r="AW45" s="46">
        <v>0</v>
      </c>
      <c r="AX45" s="46">
        <v>0</v>
      </c>
      <c r="AY45" s="47">
        <v>0</v>
      </c>
      <c r="AZ45" s="48" t="e">
        <f t="shared" ca="1" si="10"/>
        <v>#NAME?</v>
      </c>
      <c r="BA45" s="49"/>
      <c r="BB45" s="49"/>
      <c r="BC45" s="49" t="s">
        <v>257</v>
      </c>
      <c r="BD45" s="51"/>
      <c r="BF45" s="52">
        <f>+BF42-BF43-BF44</f>
        <v>403000000</v>
      </c>
    </row>
    <row r="46" spans="1:58" s="52" customFormat="1" ht="37.5" customHeight="1">
      <c r="A46" s="34">
        <v>7</v>
      </c>
      <c r="B46" s="35" t="s">
        <v>43</v>
      </c>
      <c r="C46" s="34">
        <v>2</v>
      </c>
      <c r="D46" s="34" t="s">
        <v>360</v>
      </c>
      <c r="E46" s="36" t="s">
        <v>209</v>
      </c>
      <c r="F46" s="34">
        <v>20</v>
      </c>
      <c r="G46" s="36" t="s">
        <v>250</v>
      </c>
      <c r="H46" s="37">
        <v>367</v>
      </c>
      <c r="I46" s="36" t="s">
        <v>263</v>
      </c>
      <c r="J46" s="38">
        <v>54</v>
      </c>
      <c r="K46" s="39" t="s">
        <v>264</v>
      </c>
      <c r="L46" s="38">
        <v>844</v>
      </c>
      <c r="M46" s="39" t="s">
        <v>253</v>
      </c>
      <c r="N46" s="38">
        <v>3</v>
      </c>
      <c r="O46" s="39" t="s">
        <v>143</v>
      </c>
      <c r="P46" s="40">
        <v>100</v>
      </c>
      <c r="Q46" s="36" t="s">
        <v>265</v>
      </c>
      <c r="R46" s="36" t="s">
        <v>266</v>
      </c>
      <c r="S46" s="39" t="s">
        <v>373</v>
      </c>
      <c r="T46" s="39" t="s">
        <v>392</v>
      </c>
      <c r="U46" s="35" t="s">
        <v>85</v>
      </c>
      <c r="V46" s="41">
        <v>1</v>
      </c>
      <c r="W46" s="42">
        <f t="shared" si="6"/>
        <v>1</v>
      </c>
      <c r="X46" s="42">
        <f t="shared" si="7"/>
        <v>1</v>
      </c>
      <c r="Y46" s="42">
        <f t="shared" si="8"/>
        <v>0.75</v>
      </c>
      <c r="Z46" s="42">
        <f t="shared" si="9"/>
        <v>0.75</v>
      </c>
      <c r="AA46" s="38">
        <v>0</v>
      </c>
      <c r="AB46" s="40">
        <v>100</v>
      </c>
      <c r="AC46" s="40">
        <v>100</v>
      </c>
      <c r="AD46" s="40">
        <v>100</v>
      </c>
      <c r="AE46" s="40">
        <v>100</v>
      </c>
      <c r="AF46" s="40">
        <v>100</v>
      </c>
      <c r="AG46" s="40">
        <v>100</v>
      </c>
      <c r="AH46" s="40">
        <v>100</v>
      </c>
      <c r="AI46" s="43">
        <v>100</v>
      </c>
      <c r="AJ46" s="44">
        <v>100</v>
      </c>
      <c r="AK46" s="40">
        <v>100</v>
      </c>
      <c r="AL46" s="40">
        <v>100</v>
      </c>
      <c r="AM46" s="43">
        <v>100</v>
      </c>
      <c r="AN46" s="45">
        <v>100</v>
      </c>
      <c r="AO46" s="45">
        <v>0</v>
      </c>
      <c r="AP46" s="40">
        <v>75</v>
      </c>
      <c r="AQ46" s="46">
        <v>200000000</v>
      </c>
      <c r="AR46" s="46">
        <v>672153800</v>
      </c>
      <c r="AS46" s="46">
        <v>403241365</v>
      </c>
      <c r="AT46" s="47">
        <v>67588261.086078897</v>
      </c>
      <c r="AU46" s="46" t="e">
        <f t="shared" ca="1" si="11"/>
        <v>#NAME?</v>
      </c>
      <c r="AV46" s="46">
        <v>0</v>
      </c>
      <c r="AW46" s="46">
        <v>0</v>
      </c>
      <c r="AX46" s="46">
        <v>0</v>
      </c>
      <c r="AY46" s="47">
        <v>0</v>
      </c>
      <c r="AZ46" s="48" t="e">
        <f t="shared" ca="1" si="10"/>
        <v>#NAME?</v>
      </c>
      <c r="BA46" s="49"/>
      <c r="BB46" s="49"/>
      <c r="BC46" s="49" t="s">
        <v>217</v>
      </c>
      <c r="BD46" s="51" t="s">
        <v>267</v>
      </c>
    </row>
    <row r="47" spans="1:58" s="52" customFormat="1" ht="37.5" customHeight="1">
      <c r="A47" s="34">
        <v>7</v>
      </c>
      <c r="B47" s="35" t="s">
        <v>43</v>
      </c>
      <c r="C47" s="34">
        <v>2</v>
      </c>
      <c r="D47" s="34" t="s">
        <v>360</v>
      </c>
      <c r="E47" s="36" t="s">
        <v>209</v>
      </c>
      <c r="F47" s="34">
        <v>21</v>
      </c>
      <c r="G47" s="36" t="s">
        <v>268</v>
      </c>
      <c r="H47" s="37">
        <v>368</v>
      </c>
      <c r="I47" s="36" t="s">
        <v>269</v>
      </c>
      <c r="J47" s="38">
        <v>57</v>
      </c>
      <c r="K47" s="39" t="s">
        <v>270</v>
      </c>
      <c r="L47" s="38">
        <v>845</v>
      </c>
      <c r="M47" s="39" t="s">
        <v>271</v>
      </c>
      <c r="N47" s="38">
        <v>1</v>
      </c>
      <c r="O47" s="39" t="s">
        <v>56</v>
      </c>
      <c r="P47" s="40">
        <v>400</v>
      </c>
      <c r="Q47" s="36" t="s">
        <v>63</v>
      </c>
      <c r="R47" s="36" t="s">
        <v>272</v>
      </c>
      <c r="S47" s="39" t="s">
        <v>385</v>
      </c>
      <c r="T47" s="39" t="s">
        <v>393</v>
      </c>
      <c r="U47" s="35" t="s">
        <v>52</v>
      </c>
      <c r="V47" s="41">
        <v>1</v>
      </c>
      <c r="W47" s="42">
        <f t="shared" si="6"/>
        <v>0.5</v>
      </c>
      <c r="X47" s="42">
        <f t="shared" si="7"/>
        <v>0.5</v>
      </c>
      <c r="Y47" s="42">
        <f t="shared" si="8"/>
        <v>0.5</v>
      </c>
      <c r="Z47" s="42">
        <f t="shared" si="9"/>
        <v>0.5</v>
      </c>
      <c r="AA47" s="38">
        <v>53</v>
      </c>
      <c r="AB47" s="40">
        <v>100</v>
      </c>
      <c r="AC47" s="40">
        <v>100</v>
      </c>
      <c r="AD47" s="40">
        <v>100</v>
      </c>
      <c r="AE47" s="40">
        <v>100</v>
      </c>
      <c r="AF47" s="40">
        <v>400</v>
      </c>
      <c r="AG47" s="40">
        <v>100</v>
      </c>
      <c r="AH47" s="40">
        <v>100</v>
      </c>
      <c r="AI47" s="43">
        <v>0</v>
      </c>
      <c r="AJ47" s="44">
        <v>0</v>
      </c>
      <c r="AK47" s="40">
        <v>200</v>
      </c>
      <c r="AL47" s="40">
        <v>100</v>
      </c>
      <c r="AM47" s="43">
        <v>100</v>
      </c>
      <c r="AN47" s="45">
        <v>0</v>
      </c>
      <c r="AO47" s="45">
        <v>0</v>
      </c>
      <c r="AP47" s="40">
        <v>200</v>
      </c>
      <c r="AQ47" s="46">
        <f>40000000+10000000</f>
        <v>50000000</v>
      </c>
      <c r="AR47" s="46">
        <v>86042000</v>
      </c>
      <c r="AS47" s="46">
        <v>0</v>
      </c>
      <c r="AT47" s="47">
        <v>0</v>
      </c>
      <c r="AU47" s="46" t="e">
        <f t="shared" ca="1" si="11"/>
        <v>#NAME?</v>
      </c>
      <c r="AV47" s="46">
        <v>19800000</v>
      </c>
      <c r="AW47" s="46">
        <v>3800000</v>
      </c>
      <c r="AX47" s="46">
        <v>0</v>
      </c>
      <c r="AY47" s="47">
        <v>0</v>
      </c>
      <c r="AZ47" s="48" t="e">
        <f t="shared" ca="1" si="10"/>
        <v>#NAME?</v>
      </c>
      <c r="BA47" s="49"/>
      <c r="BB47" s="49"/>
      <c r="BC47" s="49" t="s">
        <v>65</v>
      </c>
      <c r="BD47" s="51" t="s">
        <v>273</v>
      </c>
    </row>
    <row r="48" spans="1:58" s="52" customFormat="1" ht="37.5" customHeight="1">
      <c r="A48" s="34">
        <v>7</v>
      </c>
      <c r="B48" s="35" t="s">
        <v>43</v>
      </c>
      <c r="C48" s="34">
        <v>2</v>
      </c>
      <c r="D48" s="34" t="s">
        <v>360</v>
      </c>
      <c r="E48" s="36" t="s">
        <v>209</v>
      </c>
      <c r="F48" s="34">
        <v>21</v>
      </c>
      <c r="G48" s="36" t="s">
        <v>268</v>
      </c>
      <c r="H48" s="37">
        <v>369</v>
      </c>
      <c r="I48" s="36" t="s">
        <v>274</v>
      </c>
      <c r="J48" s="38">
        <v>58</v>
      </c>
      <c r="K48" s="39" t="s">
        <v>275</v>
      </c>
      <c r="L48" s="38">
        <v>845</v>
      </c>
      <c r="M48" s="39" t="s">
        <v>271</v>
      </c>
      <c r="N48" s="38">
        <v>2</v>
      </c>
      <c r="O48" s="39" t="s">
        <v>115</v>
      </c>
      <c r="P48" s="40">
        <v>4</v>
      </c>
      <c r="Q48" s="36" t="s">
        <v>116</v>
      </c>
      <c r="R48" s="36" t="s">
        <v>276</v>
      </c>
      <c r="S48" s="39" t="s">
        <v>385</v>
      </c>
      <c r="T48" s="39" t="s">
        <v>393</v>
      </c>
      <c r="U48" s="35" t="s">
        <v>52</v>
      </c>
      <c r="V48" s="41">
        <v>1</v>
      </c>
      <c r="W48" s="42">
        <f t="shared" si="6"/>
        <v>7</v>
      </c>
      <c r="X48" s="42">
        <f t="shared" si="7"/>
        <v>7</v>
      </c>
      <c r="Y48" s="42">
        <f t="shared" si="8"/>
        <v>3.75</v>
      </c>
      <c r="Z48" s="42">
        <f t="shared" si="9"/>
        <v>3.75</v>
      </c>
      <c r="AA48" s="38">
        <v>4</v>
      </c>
      <c r="AB48" s="40">
        <v>1</v>
      </c>
      <c r="AC48" s="40">
        <v>1</v>
      </c>
      <c r="AD48" s="40">
        <v>1</v>
      </c>
      <c r="AE48" s="40">
        <v>1</v>
      </c>
      <c r="AF48" s="40">
        <v>4</v>
      </c>
      <c r="AG48" s="40">
        <v>1</v>
      </c>
      <c r="AH48" s="40">
        <f>13+1</f>
        <v>14</v>
      </c>
      <c r="AI48" s="43">
        <v>0</v>
      </c>
      <c r="AJ48" s="44">
        <v>13</v>
      </c>
      <c r="AK48" s="40">
        <v>28</v>
      </c>
      <c r="AL48" s="40">
        <v>1</v>
      </c>
      <c r="AM48" s="43">
        <f>13+1</f>
        <v>14</v>
      </c>
      <c r="AN48" s="45">
        <v>0</v>
      </c>
      <c r="AO48" s="45">
        <v>0</v>
      </c>
      <c r="AP48" s="40">
        <v>15</v>
      </c>
      <c r="AQ48" s="46">
        <v>200000000</v>
      </c>
      <c r="AR48" s="46">
        <v>471618011</v>
      </c>
      <c r="AS48" s="46">
        <v>0</v>
      </c>
      <c r="AT48" s="47">
        <f>190000000+11000000</f>
        <v>201000000</v>
      </c>
      <c r="AU48" s="46" t="e">
        <f t="shared" ca="1" si="11"/>
        <v>#NAME?</v>
      </c>
      <c r="AV48" s="46">
        <v>80000000</v>
      </c>
      <c r="AW48" s="46">
        <v>110253350</v>
      </c>
      <c r="AX48" s="46">
        <v>0</v>
      </c>
      <c r="AY48" s="47">
        <v>0</v>
      </c>
      <c r="AZ48" s="48" t="e">
        <f t="shared" ca="1" si="10"/>
        <v>#NAME?</v>
      </c>
      <c r="BA48" s="49"/>
      <c r="BB48" s="49"/>
      <c r="BC48" s="49" t="s">
        <v>65</v>
      </c>
      <c r="BD48" s="51" t="s">
        <v>277</v>
      </c>
    </row>
    <row r="49" spans="1:56" s="52" customFormat="1" ht="37.5" customHeight="1">
      <c r="A49" s="34">
        <v>7</v>
      </c>
      <c r="B49" s="35" t="s">
        <v>43</v>
      </c>
      <c r="C49" s="34">
        <v>2</v>
      </c>
      <c r="D49" s="34" t="s">
        <v>360</v>
      </c>
      <c r="E49" s="36" t="s">
        <v>209</v>
      </c>
      <c r="F49" s="34">
        <v>21</v>
      </c>
      <c r="G49" s="36" t="s">
        <v>268</v>
      </c>
      <c r="H49" s="37">
        <v>370</v>
      </c>
      <c r="I49" s="36" t="s">
        <v>278</v>
      </c>
      <c r="J49" s="38">
        <v>57</v>
      </c>
      <c r="K49" s="39" t="s">
        <v>270</v>
      </c>
      <c r="L49" s="38">
        <v>845</v>
      </c>
      <c r="M49" s="39" t="s">
        <v>271</v>
      </c>
      <c r="N49" s="38">
        <v>3</v>
      </c>
      <c r="O49" s="39" t="s">
        <v>56</v>
      </c>
      <c r="P49" s="40">
        <v>4000</v>
      </c>
      <c r="Q49" s="36" t="s">
        <v>63</v>
      </c>
      <c r="R49" s="36" t="s">
        <v>279</v>
      </c>
      <c r="S49" s="39" t="s">
        <v>385</v>
      </c>
      <c r="T49" s="39" t="s">
        <v>393</v>
      </c>
      <c r="U49" s="35" t="s">
        <v>52</v>
      </c>
      <c r="V49" s="41">
        <v>1</v>
      </c>
      <c r="W49" s="42">
        <f t="shared" si="6"/>
        <v>16</v>
      </c>
      <c r="X49" s="42">
        <f t="shared" si="7"/>
        <v>16</v>
      </c>
      <c r="Y49" s="42">
        <f t="shared" si="8"/>
        <v>11.25</v>
      </c>
      <c r="Z49" s="42">
        <f t="shared" si="9"/>
        <v>11.25</v>
      </c>
      <c r="AA49" s="38">
        <v>275</v>
      </c>
      <c r="AB49" s="40">
        <v>1000</v>
      </c>
      <c r="AC49" s="40">
        <v>1000</v>
      </c>
      <c r="AD49" s="40">
        <v>1000</v>
      </c>
      <c r="AE49" s="40">
        <v>1000</v>
      </c>
      <c r="AF49" s="40">
        <v>4000</v>
      </c>
      <c r="AG49" s="40">
        <v>30000</v>
      </c>
      <c r="AH49" s="40">
        <v>20000</v>
      </c>
      <c r="AI49" s="43">
        <v>0</v>
      </c>
      <c r="AJ49" s="44">
        <v>14000</v>
      </c>
      <c r="AK49" s="40">
        <v>64000</v>
      </c>
      <c r="AL49" s="40">
        <v>16000</v>
      </c>
      <c r="AM49" s="43">
        <f>15000+9000+5000</f>
        <v>29000</v>
      </c>
      <c r="AN49" s="45">
        <v>0</v>
      </c>
      <c r="AO49" s="45">
        <v>0</v>
      </c>
      <c r="AP49" s="40">
        <v>45000</v>
      </c>
      <c r="AQ49" s="46">
        <v>150000000</v>
      </c>
      <c r="AR49" s="46">
        <v>156358000</v>
      </c>
      <c r="AS49" s="46">
        <v>0</v>
      </c>
      <c r="AT49" s="47">
        <v>578966320</v>
      </c>
      <c r="AU49" s="46" t="e">
        <f t="shared" ca="1" si="11"/>
        <v>#NAME?</v>
      </c>
      <c r="AV49" s="46">
        <v>56400000</v>
      </c>
      <c r="AW49" s="46">
        <v>60001650</v>
      </c>
      <c r="AX49" s="46">
        <v>0</v>
      </c>
      <c r="AY49" s="47">
        <v>0</v>
      </c>
      <c r="AZ49" s="48" t="e">
        <f t="shared" ca="1" si="10"/>
        <v>#NAME?</v>
      </c>
      <c r="BA49" s="49"/>
      <c r="BB49" s="49"/>
      <c r="BC49" s="49" t="s">
        <v>65</v>
      </c>
      <c r="BD49" s="51" t="s">
        <v>280</v>
      </c>
    </row>
    <row r="50" spans="1:56" s="52" customFormat="1" ht="37.5" customHeight="1">
      <c r="A50" s="34">
        <v>7</v>
      </c>
      <c r="B50" s="35" t="s">
        <v>43</v>
      </c>
      <c r="C50" s="34">
        <v>2</v>
      </c>
      <c r="D50" s="34" t="s">
        <v>360</v>
      </c>
      <c r="E50" s="36" t="s">
        <v>209</v>
      </c>
      <c r="F50" s="34">
        <v>22</v>
      </c>
      <c r="G50" s="36" t="s">
        <v>281</v>
      </c>
      <c r="H50" s="37">
        <v>371</v>
      </c>
      <c r="I50" s="36" t="s">
        <v>282</v>
      </c>
      <c r="J50" s="38">
        <v>60</v>
      </c>
      <c r="K50" s="39" t="s">
        <v>283</v>
      </c>
      <c r="L50" s="38">
        <v>846</v>
      </c>
      <c r="M50" s="39" t="s">
        <v>284</v>
      </c>
      <c r="N50" s="38">
        <v>1</v>
      </c>
      <c r="O50" s="39" t="s">
        <v>254</v>
      </c>
      <c r="P50" s="40">
        <v>2000</v>
      </c>
      <c r="Q50" s="36" t="s">
        <v>63</v>
      </c>
      <c r="R50" s="36" t="s">
        <v>285</v>
      </c>
      <c r="S50" s="39" t="s">
        <v>385</v>
      </c>
      <c r="T50" s="39" t="s">
        <v>387</v>
      </c>
      <c r="U50" s="35" t="s">
        <v>52</v>
      </c>
      <c r="V50" s="41">
        <v>1</v>
      </c>
      <c r="W50" s="42">
        <f t="shared" si="6"/>
        <v>2.15</v>
      </c>
      <c r="X50" s="42">
        <f t="shared" si="7"/>
        <v>2.15</v>
      </c>
      <c r="Y50" s="42">
        <f t="shared" si="8"/>
        <v>3.55</v>
      </c>
      <c r="Z50" s="42">
        <f t="shared" si="9"/>
        <v>3.55</v>
      </c>
      <c r="AA50" s="38">
        <v>0</v>
      </c>
      <c r="AB50" s="40">
        <v>500</v>
      </c>
      <c r="AC50" s="40">
        <v>750</v>
      </c>
      <c r="AD50" s="40">
        <v>750</v>
      </c>
      <c r="AE50" s="40">
        <v>0</v>
      </c>
      <c r="AF50" s="40">
        <v>2000</v>
      </c>
      <c r="AG50" s="40">
        <v>2300</v>
      </c>
      <c r="AH50" s="40">
        <v>2000</v>
      </c>
      <c r="AI50" s="43">
        <v>0</v>
      </c>
      <c r="AJ50" s="44">
        <v>0</v>
      </c>
      <c r="AK50" s="40">
        <v>4300</v>
      </c>
      <c r="AL50" s="40">
        <v>2300</v>
      </c>
      <c r="AM50" s="43">
        <v>4800</v>
      </c>
      <c r="AN50" s="45">
        <v>0</v>
      </c>
      <c r="AO50" s="45">
        <v>0</v>
      </c>
      <c r="AP50" s="40">
        <v>7100</v>
      </c>
      <c r="AQ50" s="46">
        <f>183628000+12000000</f>
        <v>195628000</v>
      </c>
      <c r="AR50" s="46">
        <v>304950000</v>
      </c>
      <c r="AS50" s="46">
        <v>0</v>
      </c>
      <c r="AT50" s="47">
        <v>0</v>
      </c>
      <c r="AU50" s="46" t="e">
        <f t="shared" ca="1" si="11"/>
        <v>#NAME?</v>
      </c>
      <c r="AV50" s="46">
        <v>0</v>
      </c>
      <c r="AW50" s="46">
        <v>85632600</v>
      </c>
      <c r="AX50" s="46">
        <v>0</v>
      </c>
      <c r="AY50" s="47">
        <v>0</v>
      </c>
      <c r="AZ50" s="48" t="e">
        <f t="shared" ca="1" si="10"/>
        <v>#NAME?</v>
      </c>
      <c r="BA50" s="49"/>
      <c r="BB50" s="49"/>
      <c r="BC50" s="49" t="s">
        <v>65</v>
      </c>
      <c r="BD50" s="51" t="s">
        <v>286</v>
      </c>
    </row>
    <row r="51" spans="1:56" s="52" customFormat="1" ht="37.5" customHeight="1">
      <c r="A51" s="34">
        <v>7</v>
      </c>
      <c r="B51" s="35" t="s">
        <v>43</v>
      </c>
      <c r="C51" s="34">
        <v>2</v>
      </c>
      <c r="D51" s="34" t="s">
        <v>360</v>
      </c>
      <c r="E51" s="36" t="s">
        <v>209</v>
      </c>
      <c r="F51" s="34">
        <v>22</v>
      </c>
      <c r="G51" s="36" t="s">
        <v>281</v>
      </c>
      <c r="H51" s="37">
        <v>372</v>
      </c>
      <c r="I51" s="36" t="s">
        <v>287</v>
      </c>
      <c r="J51" s="38">
        <v>43</v>
      </c>
      <c r="K51" s="39" t="s">
        <v>288</v>
      </c>
      <c r="L51" s="38">
        <v>846</v>
      </c>
      <c r="M51" s="39" t="s">
        <v>284</v>
      </c>
      <c r="N51" s="38">
        <v>2</v>
      </c>
      <c r="O51" s="39" t="s">
        <v>254</v>
      </c>
      <c r="P51" s="40">
        <v>1000</v>
      </c>
      <c r="Q51" s="36" t="s">
        <v>63</v>
      </c>
      <c r="R51" s="36" t="s">
        <v>289</v>
      </c>
      <c r="S51" s="39" t="s">
        <v>385</v>
      </c>
      <c r="T51" s="39" t="s">
        <v>387</v>
      </c>
      <c r="U51" s="35" t="s">
        <v>52</v>
      </c>
      <c r="V51" s="41">
        <v>1</v>
      </c>
      <c r="W51" s="42">
        <f t="shared" si="6"/>
        <v>0.8</v>
      </c>
      <c r="X51" s="42">
        <f t="shared" si="7"/>
        <v>0.8</v>
      </c>
      <c r="Y51" s="42">
        <f t="shared" si="8"/>
        <v>0.8</v>
      </c>
      <c r="Z51" s="42">
        <f t="shared" si="9"/>
        <v>0.8</v>
      </c>
      <c r="AA51" s="38">
        <v>0</v>
      </c>
      <c r="AB51" s="40">
        <v>250</v>
      </c>
      <c r="AC51" s="40">
        <v>375</v>
      </c>
      <c r="AD51" s="40">
        <v>375</v>
      </c>
      <c r="AE51" s="40">
        <v>0</v>
      </c>
      <c r="AF51" s="40">
        <v>1000</v>
      </c>
      <c r="AG51" s="40">
        <v>300</v>
      </c>
      <c r="AH51" s="40">
        <v>200</v>
      </c>
      <c r="AI51" s="43">
        <v>300</v>
      </c>
      <c r="AJ51" s="44">
        <v>0</v>
      </c>
      <c r="AK51" s="40">
        <v>800</v>
      </c>
      <c r="AL51" s="40">
        <v>300</v>
      </c>
      <c r="AM51" s="43">
        <v>200</v>
      </c>
      <c r="AN51" s="45">
        <v>300</v>
      </c>
      <c r="AO51" s="45">
        <v>0</v>
      </c>
      <c r="AP51" s="40">
        <v>800</v>
      </c>
      <c r="AQ51" s="46">
        <v>190100000</v>
      </c>
      <c r="AR51" s="46">
        <v>95050000</v>
      </c>
      <c r="AS51" s="46">
        <v>187718490</v>
      </c>
      <c r="AT51" s="47">
        <v>0</v>
      </c>
      <c r="AU51" s="46" t="e">
        <f t="shared" ca="1" si="11"/>
        <v>#NAME?</v>
      </c>
      <c r="AV51" s="46">
        <v>0</v>
      </c>
      <c r="AW51" s="46">
        <v>86145000</v>
      </c>
      <c r="AX51" s="46">
        <v>109031094</v>
      </c>
      <c r="AY51" s="47">
        <v>0</v>
      </c>
      <c r="AZ51" s="48" t="e">
        <f t="shared" ca="1" si="10"/>
        <v>#NAME?</v>
      </c>
      <c r="BA51" s="49"/>
      <c r="BB51" s="49"/>
      <c r="BC51" s="49" t="s">
        <v>65</v>
      </c>
      <c r="BD51" s="51"/>
    </row>
    <row r="52" spans="1:56" s="52" customFormat="1" ht="37.5" customHeight="1">
      <c r="A52" s="34">
        <v>7</v>
      </c>
      <c r="B52" s="35" t="s">
        <v>43</v>
      </c>
      <c r="C52" s="34">
        <v>3</v>
      </c>
      <c r="D52" s="34" t="s">
        <v>361</v>
      </c>
      <c r="E52" s="36" t="s">
        <v>290</v>
      </c>
      <c r="F52" s="34">
        <v>24</v>
      </c>
      <c r="G52" s="36" t="s">
        <v>291</v>
      </c>
      <c r="H52" s="37">
        <v>373</v>
      </c>
      <c r="I52" s="36" t="s">
        <v>292</v>
      </c>
      <c r="J52" s="38">
        <v>61</v>
      </c>
      <c r="K52" s="39" t="s">
        <v>293</v>
      </c>
      <c r="L52" s="38">
        <v>848</v>
      </c>
      <c r="M52" s="39" t="s">
        <v>294</v>
      </c>
      <c r="N52" s="38">
        <v>3</v>
      </c>
      <c r="O52" s="39" t="s">
        <v>56</v>
      </c>
      <c r="P52" s="40">
        <v>6000</v>
      </c>
      <c r="Q52" s="36" t="s">
        <v>63</v>
      </c>
      <c r="R52" s="36" t="s">
        <v>295</v>
      </c>
      <c r="S52" s="39" t="s">
        <v>373</v>
      </c>
      <c r="T52" s="39" t="s">
        <v>372</v>
      </c>
      <c r="U52" s="96" t="s">
        <v>52</v>
      </c>
      <c r="V52" s="41">
        <v>1</v>
      </c>
      <c r="W52" s="42">
        <f t="shared" si="6"/>
        <v>1.0088333333333332</v>
      </c>
      <c r="X52" s="42">
        <f t="shared" si="7"/>
        <v>1.0088333333333332</v>
      </c>
      <c r="Y52" s="42">
        <f t="shared" si="8"/>
        <v>1.0631666666666666</v>
      </c>
      <c r="Z52" s="42">
        <f t="shared" si="9"/>
        <v>1.0631666666666666</v>
      </c>
      <c r="AA52" s="38">
        <v>0</v>
      </c>
      <c r="AB52" s="40">
        <v>1500</v>
      </c>
      <c r="AC52" s="40">
        <v>1500</v>
      </c>
      <c r="AD52" s="40">
        <v>1500</v>
      </c>
      <c r="AE52" s="40">
        <v>1500</v>
      </c>
      <c r="AF52" s="40">
        <v>6000</v>
      </c>
      <c r="AG52" s="40">
        <f>100+1200+1850+150+1330</f>
        <v>4630</v>
      </c>
      <c r="AH52" s="40">
        <v>1167</v>
      </c>
      <c r="AI52" s="43">
        <v>256</v>
      </c>
      <c r="AJ52" s="44">
        <v>0</v>
      </c>
      <c r="AK52" s="40">
        <v>6053</v>
      </c>
      <c r="AL52" s="40">
        <v>4630</v>
      </c>
      <c r="AM52" s="43">
        <v>1493</v>
      </c>
      <c r="AN52" s="45">
        <v>256</v>
      </c>
      <c r="AO52" s="45">
        <v>0</v>
      </c>
      <c r="AP52" s="40">
        <v>6379</v>
      </c>
      <c r="AQ52" s="46">
        <v>50000000</v>
      </c>
      <c r="AR52" s="46">
        <v>155000000</v>
      </c>
      <c r="AS52" s="46">
        <v>75000000</v>
      </c>
      <c r="AT52" s="47">
        <v>0</v>
      </c>
      <c r="AU52" s="46" t="e">
        <f t="shared" ca="1" si="11"/>
        <v>#NAME?</v>
      </c>
      <c r="AV52" s="46">
        <v>44378670</v>
      </c>
      <c r="AW52" s="46">
        <v>94379852</v>
      </c>
      <c r="AX52" s="46">
        <v>0</v>
      </c>
      <c r="AY52" s="47">
        <v>0</v>
      </c>
      <c r="AZ52" s="48" t="e">
        <f t="shared" ca="1" si="10"/>
        <v>#NAME?</v>
      </c>
      <c r="BA52" s="49"/>
      <c r="BB52" s="49"/>
      <c r="BC52" s="49" t="s">
        <v>65</v>
      </c>
      <c r="BD52" s="51" t="s">
        <v>296</v>
      </c>
    </row>
    <row r="53" spans="1:56" s="52" customFormat="1" ht="37.5" customHeight="1">
      <c r="A53" s="34">
        <v>7</v>
      </c>
      <c r="B53" s="35" t="s">
        <v>43</v>
      </c>
      <c r="C53" s="34">
        <v>3</v>
      </c>
      <c r="D53" s="34" t="s">
        <v>361</v>
      </c>
      <c r="E53" s="36" t="s">
        <v>290</v>
      </c>
      <c r="F53" s="34">
        <v>24</v>
      </c>
      <c r="G53" s="36" t="s">
        <v>291</v>
      </c>
      <c r="H53" s="37">
        <v>374</v>
      </c>
      <c r="I53" s="36" t="s">
        <v>297</v>
      </c>
      <c r="J53" s="38">
        <v>71</v>
      </c>
      <c r="K53" s="39" t="s">
        <v>298</v>
      </c>
      <c r="L53" s="38">
        <v>848</v>
      </c>
      <c r="M53" s="39" t="s">
        <v>294</v>
      </c>
      <c r="N53" s="38">
        <v>4</v>
      </c>
      <c r="O53" s="39" t="s">
        <v>56</v>
      </c>
      <c r="P53" s="40">
        <v>600</v>
      </c>
      <c r="Q53" s="36" t="s">
        <v>63</v>
      </c>
      <c r="R53" s="36" t="s">
        <v>299</v>
      </c>
      <c r="S53" s="39" t="s">
        <v>373</v>
      </c>
      <c r="T53" s="39" t="s">
        <v>394</v>
      </c>
      <c r="U53" s="35" t="s">
        <v>52</v>
      </c>
      <c r="V53" s="41">
        <v>1</v>
      </c>
      <c r="W53" s="42">
        <f t="shared" si="6"/>
        <v>1.1833333333333333</v>
      </c>
      <c r="X53" s="42">
        <f t="shared" si="7"/>
        <v>1.1833333333333333</v>
      </c>
      <c r="Y53" s="42">
        <f t="shared" si="8"/>
        <v>0.87666666666666671</v>
      </c>
      <c r="Z53" s="42">
        <f t="shared" si="9"/>
        <v>0.87666666666666671</v>
      </c>
      <c r="AA53" s="38">
        <v>0</v>
      </c>
      <c r="AB53" s="40">
        <v>150</v>
      </c>
      <c r="AC53" s="40">
        <v>150</v>
      </c>
      <c r="AD53" s="40">
        <v>150</v>
      </c>
      <c r="AE53" s="40">
        <v>150</v>
      </c>
      <c r="AF53" s="40">
        <v>600</v>
      </c>
      <c r="AG53" s="40">
        <v>390</v>
      </c>
      <c r="AH53" s="40">
        <v>320</v>
      </c>
      <c r="AI53" s="43">
        <v>0</v>
      </c>
      <c r="AJ53" s="44">
        <v>0</v>
      </c>
      <c r="AK53" s="40">
        <v>710</v>
      </c>
      <c r="AL53" s="40">
        <v>200</v>
      </c>
      <c r="AM53" s="43">
        <v>326</v>
      </c>
      <c r="AN53" s="45">
        <v>0</v>
      </c>
      <c r="AO53" s="45">
        <v>0</v>
      </c>
      <c r="AP53" s="40">
        <v>526</v>
      </c>
      <c r="AQ53" s="46">
        <v>254000000</v>
      </c>
      <c r="AR53" s="46">
        <v>263038947</v>
      </c>
      <c r="AS53" s="46">
        <v>0</v>
      </c>
      <c r="AT53" s="47">
        <v>0</v>
      </c>
      <c r="AU53" s="46" t="e">
        <f t="shared" ca="1" si="11"/>
        <v>#NAME?</v>
      </c>
      <c r="AV53" s="46">
        <v>0</v>
      </c>
      <c r="AW53" s="46">
        <v>4281429</v>
      </c>
      <c r="AX53" s="46">
        <v>0</v>
      </c>
      <c r="AY53" s="47">
        <v>0</v>
      </c>
      <c r="AZ53" s="48" t="e">
        <f t="shared" ca="1" si="10"/>
        <v>#NAME?</v>
      </c>
      <c r="BA53" s="49"/>
      <c r="BB53" s="49"/>
      <c r="BC53" s="49" t="s">
        <v>65</v>
      </c>
      <c r="BD53" s="51" t="s">
        <v>300</v>
      </c>
    </row>
    <row r="54" spans="1:56" s="52" customFormat="1" ht="37.5" customHeight="1">
      <c r="A54" s="34">
        <v>7</v>
      </c>
      <c r="B54" s="35" t="s">
        <v>43</v>
      </c>
      <c r="C54" s="34">
        <v>3</v>
      </c>
      <c r="D54" s="34" t="s">
        <v>361</v>
      </c>
      <c r="E54" s="36" t="s">
        <v>290</v>
      </c>
      <c r="F54" s="34">
        <v>24</v>
      </c>
      <c r="G54" s="36" t="s">
        <v>291</v>
      </c>
      <c r="H54" s="37">
        <v>375</v>
      </c>
      <c r="I54" s="36" t="s">
        <v>301</v>
      </c>
      <c r="J54" s="38">
        <v>65</v>
      </c>
      <c r="K54" s="39" t="s">
        <v>302</v>
      </c>
      <c r="L54" s="38">
        <v>848</v>
      </c>
      <c r="M54" s="39" t="s">
        <v>294</v>
      </c>
      <c r="N54" s="38">
        <v>1</v>
      </c>
      <c r="O54" s="39" t="s">
        <v>303</v>
      </c>
      <c r="P54" s="40">
        <v>160</v>
      </c>
      <c r="Q54" s="36" t="s">
        <v>304</v>
      </c>
      <c r="R54" s="36" t="s">
        <v>305</v>
      </c>
      <c r="S54" s="39" t="s">
        <v>373</v>
      </c>
      <c r="T54" s="39" t="s">
        <v>372</v>
      </c>
      <c r="U54" s="35" t="s">
        <v>52</v>
      </c>
      <c r="V54" s="41">
        <v>1</v>
      </c>
      <c r="W54" s="42">
        <f t="shared" si="6"/>
        <v>1.5</v>
      </c>
      <c r="X54" s="42">
        <f t="shared" si="7"/>
        <v>1.5</v>
      </c>
      <c r="Y54" s="42">
        <f t="shared" si="8"/>
        <v>1.45625</v>
      </c>
      <c r="Z54" s="42">
        <f t="shared" si="9"/>
        <v>1.45625</v>
      </c>
      <c r="AA54" s="38">
        <v>204</v>
      </c>
      <c r="AB54" s="40">
        <v>40</v>
      </c>
      <c r="AC54" s="40">
        <v>40</v>
      </c>
      <c r="AD54" s="40">
        <v>40</v>
      </c>
      <c r="AE54" s="40">
        <v>40</v>
      </c>
      <c r="AF54" s="40">
        <v>160</v>
      </c>
      <c r="AG54" s="40">
        <v>40</v>
      </c>
      <c r="AH54" s="40">
        <v>48</v>
      </c>
      <c r="AI54" s="43">
        <v>32</v>
      </c>
      <c r="AJ54" s="44">
        <v>120</v>
      </c>
      <c r="AK54" s="40">
        <v>240</v>
      </c>
      <c r="AL54" s="40">
        <v>36</v>
      </c>
      <c r="AM54" s="43">
        <v>45</v>
      </c>
      <c r="AN54" s="45">
        <v>32</v>
      </c>
      <c r="AO54" s="45">
        <v>120</v>
      </c>
      <c r="AP54" s="40">
        <v>233</v>
      </c>
      <c r="AQ54" s="46">
        <v>214000000</v>
      </c>
      <c r="AR54" s="46">
        <v>220485000</v>
      </c>
      <c r="AS54" s="46">
        <v>220922014</v>
      </c>
      <c r="AT54" s="47">
        <v>116426005</v>
      </c>
      <c r="AU54" s="46" t="e">
        <f t="shared" ca="1" si="11"/>
        <v>#NAME?</v>
      </c>
      <c r="AV54" s="46">
        <v>0</v>
      </c>
      <c r="AW54" s="46">
        <v>6392000</v>
      </c>
      <c r="AX54" s="46">
        <v>9392458</v>
      </c>
      <c r="AY54" s="47">
        <v>85834698</v>
      </c>
      <c r="AZ54" s="48" t="e">
        <f t="shared" ca="1" si="10"/>
        <v>#NAME?</v>
      </c>
      <c r="BA54" s="49"/>
      <c r="BB54" s="49"/>
      <c r="BC54" s="49" t="s">
        <v>65</v>
      </c>
      <c r="BD54" s="51" t="s">
        <v>306</v>
      </c>
    </row>
    <row r="55" spans="1:56" s="52" customFormat="1" ht="37.5" customHeight="1">
      <c r="A55" s="34">
        <v>7</v>
      </c>
      <c r="B55" s="35" t="s">
        <v>43</v>
      </c>
      <c r="C55" s="34">
        <v>3</v>
      </c>
      <c r="D55" s="34" t="s">
        <v>361</v>
      </c>
      <c r="E55" s="36" t="s">
        <v>290</v>
      </c>
      <c r="F55" s="34">
        <v>24</v>
      </c>
      <c r="G55" s="36" t="s">
        <v>291</v>
      </c>
      <c r="H55" s="37">
        <v>376</v>
      </c>
      <c r="I55" s="36" t="s">
        <v>307</v>
      </c>
      <c r="J55" s="38">
        <v>63</v>
      </c>
      <c r="K55" s="39" t="s">
        <v>308</v>
      </c>
      <c r="L55" s="38">
        <v>848</v>
      </c>
      <c r="M55" s="39" t="s">
        <v>294</v>
      </c>
      <c r="N55" s="38">
        <v>7</v>
      </c>
      <c r="O55" s="39" t="s">
        <v>49</v>
      </c>
      <c r="P55" s="40">
        <v>75</v>
      </c>
      <c r="Q55" s="36" t="s">
        <v>309</v>
      </c>
      <c r="R55" s="36" t="s">
        <v>310</v>
      </c>
      <c r="S55" s="39" t="s">
        <v>373</v>
      </c>
      <c r="T55" s="39" t="s">
        <v>372</v>
      </c>
      <c r="U55" s="35" t="s">
        <v>52</v>
      </c>
      <c r="V55" s="41">
        <v>1</v>
      </c>
      <c r="W55" s="42">
        <f t="shared" si="6"/>
        <v>0.78666666666666663</v>
      </c>
      <c r="X55" s="42">
        <f t="shared" si="7"/>
        <v>0.78666666666666663</v>
      </c>
      <c r="Y55" s="42">
        <f t="shared" si="8"/>
        <v>0.58666666666666667</v>
      </c>
      <c r="Z55" s="42">
        <f t="shared" si="9"/>
        <v>0.58666666666666667</v>
      </c>
      <c r="AA55" s="38">
        <v>91</v>
      </c>
      <c r="AB55" s="40">
        <v>18</v>
      </c>
      <c r="AC55" s="40">
        <v>19</v>
      </c>
      <c r="AD55" s="40">
        <v>19</v>
      </c>
      <c r="AE55" s="40">
        <v>19</v>
      </c>
      <c r="AF55" s="40">
        <v>75</v>
      </c>
      <c r="AG55" s="40">
        <v>19</v>
      </c>
      <c r="AH55" s="40">
        <v>25</v>
      </c>
      <c r="AI55" s="43">
        <v>0</v>
      </c>
      <c r="AJ55" s="44">
        <v>15</v>
      </c>
      <c r="AK55" s="40">
        <v>59</v>
      </c>
      <c r="AL55" s="40">
        <v>17</v>
      </c>
      <c r="AM55" s="43">
        <v>27</v>
      </c>
      <c r="AN55" s="45">
        <v>0</v>
      </c>
      <c r="AO55" s="45">
        <v>0</v>
      </c>
      <c r="AP55" s="40">
        <v>44</v>
      </c>
      <c r="AQ55" s="46">
        <v>233029642</v>
      </c>
      <c r="AR55" s="46">
        <v>143692304</v>
      </c>
      <c r="AS55" s="46">
        <v>0</v>
      </c>
      <c r="AT55" s="47">
        <v>189046256</v>
      </c>
      <c r="AU55" s="46" t="e">
        <f t="shared" ca="1" si="11"/>
        <v>#NAME?</v>
      </c>
      <c r="AV55" s="46">
        <v>0</v>
      </c>
      <c r="AW55" s="46">
        <v>7666624</v>
      </c>
      <c r="AX55" s="46">
        <v>0</v>
      </c>
      <c r="AY55" s="47">
        <v>0</v>
      </c>
      <c r="AZ55" s="48" t="e">
        <f t="shared" ca="1" si="10"/>
        <v>#NAME?</v>
      </c>
      <c r="BA55" s="49"/>
      <c r="BB55" s="49"/>
      <c r="BC55" s="49" t="s">
        <v>65</v>
      </c>
      <c r="BD55" s="51"/>
    </row>
    <row r="56" spans="1:56" s="52" customFormat="1" ht="37.5" customHeight="1">
      <c r="A56" s="34">
        <v>7</v>
      </c>
      <c r="B56" s="35" t="s">
        <v>43</v>
      </c>
      <c r="C56" s="34">
        <v>3</v>
      </c>
      <c r="D56" s="34" t="s">
        <v>361</v>
      </c>
      <c r="E56" s="36" t="s">
        <v>290</v>
      </c>
      <c r="F56" s="34">
        <v>24</v>
      </c>
      <c r="G56" s="36" t="s">
        <v>291</v>
      </c>
      <c r="H56" s="37">
        <v>377</v>
      </c>
      <c r="I56" s="36" t="s">
        <v>311</v>
      </c>
      <c r="J56" s="38" t="s">
        <v>382</v>
      </c>
      <c r="K56" s="39" t="s">
        <v>196</v>
      </c>
      <c r="L56" s="38">
        <v>848</v>
      </c>
      <c r="M56" s="39" t="s">
        <v>294</v>
      </c>
      <c r="N56" s="38">
        <v>6</v>
      </c>
      <c r="O56" s="39" t="s">
        <v>312</v>
      </c>
      <c r="P56" s="40">
        <v>1</v>
      </c>
      <c r="Q56" s="36" t="s">
        <v>313</v>
      </c>
      <c r="R56" s="36" t="s">
        <v>314</v>
      </c>
      <c r="S56" s="39" t="s">
        <v>382</v>
      </c>
      <c r="T56" s="39" t="s">
        <v>382</v>
      </c>
      <c r="U56" s="35" t="s">
        <v>52</v>
      </c>
      <c r="V56" s="41">
        <v>1</v>
      </c>
      <c r="W56" s="42">
        <f t="shared" si="6"/>
        <v>1</v>
      </c>
      <c r="X56" s="42">
        <f t="shared" si="7"/>
        <v>1</v>
      </c>
      <c r="Y56" s="42">
        <f t="shared" si="8"/>
        <v>1</v>
      </c>
      <c r="Z56" s="42">
        <f t="shared" si="9"/>
        <v>1</v>
      </c>
      <c r="AA56" s="38">
        <v>0</v>
      </c>
      <c r="AB56" s="40">
        <v>1</v>
      </c>
      <c r="AC56" s="40">
        <v>0</v>
      </c>
      <c r="AD56" s="40">
        <v>0</v>
      </c>
      <c r="AE56" s="40">
        <v>0</v>
      </c>
      <c r="AF56" s="40">
        <v>1</v>
      </c>
      <c r="AG56" s="40">
        <v>1</v>
      </c>
      <c r="AH56" s="40">
        <v>0</v>
      </c>
      <c r="AI56" s="43">
        <v>0</v>
      </c>
      <c r="AJ56" s="44">
        <v>0</v>
      </c>
      <c r="AK56" s="40">
        <v>1</v>
      </c>
      <c r="AL56" s="40">
        <v>1</v>
      </c>
      <c r="AM56" s="43">
        <v>0</v>
      </c>
      <c r="AN56" s="45">
        <v>0</v>
      </c>
      <c r="AO56" s="45">
        <v>0</v>
      </c>
      <c r="AP56" s="40">
        <v>1</v>
      </c>
      <c r="AQ56" s="46">
        <v>3079952566</v>
      </c>
      <c r="AR56" s="46">
        <v>0</v>
      </c>
      <c r="AS56" s="46">
        <v>0</v>
      </c>
      <c r="AT56" s="47">
        <v>0</v>
      </c>
      <c r="AU56" s="46" t="e">
        <f t="shared" ca="1" si="11"/>
        <v>#NAME?</v>
      </c>
      <c r="AV56" s="46">
        <v>215077847</v>
      </c>
      <c r="AW56" s="46">
        <v>0</v>
      </c>
      <c r="AX56" s="46">
        <v>0</v>
      </c>
      <c r="AY56" s="47">
        <v>0</v>
      </c>
      <c r="AZ56" s="48" t="e">
        <f t="shared" ca="1" si="10"/>
        <v>#NAME?</v>
      </c>
      <c r="BA56" s="49"/>
      <c r="BB56" s="49"/>
      <c r="BC56" s="49" t="s">
        <v>65</v>
      </c>
      <c r="BD56" s="51"/>
    </row>
    <row r="57" spans="1:56" s="52" customFormat="1" ht="37.5" customHeight="1">
      <c r="A57" s="34">
        <v>7</v>
      </c>
      <c r="B57" s="35" t="s">
        <v>43</v>
      </c>
      <c r="C57" s="34">
        <v>3</v>
      </c>
      <c r="D57" s="34" t="s">
        <v>361</v>
      </c>
      <c r="E57" s="36" t="s">
        <v>290</v>
      </c>
      <c r="F57" s="34">
        <v>24</v>
      </c>
      <c r="G57" s="36" t="s">
        <v>291</v>
      </c>
      <c r="H57" s="37">
        <v>378</v>
      </c>
      <c r="I57" s="36" t="s">
        <v>315</v>
      </c>
      <c r="J57" s="38" t="s">
        <v>382</v>
      </c>
      <c r="K57" s="39" t="s">
        <v>196</v>
      </c>
      <c r="L57" s="38">
        <v>848</v>
      </c>
      <c r="M57" s="39" t="s">
        <v>294</v>
      </c>
      <c r="N57" s="38">
        <v>8</v>
      </c>
      <c r="O57" s="39" t="s">
        <v>49</v>
      </c>
      <c r="P57" s="40">
        <v>1</v>
      </c>
      <c r="Q57" s="36" t="s">
        <v>316</v>
      </c>
      <c r="R57" s="36" t="s">
        <v>317</v>
      </c>
      <c r="S57" s="39" t="s">
        <v>382</v>
      </c>
      <c r="T57" s="39" t="s">
        <v>382</v>
      </c>
      <c r="U57" s="35" t="s">
        <v>52</v>
      </c>
      <c r="V57" s="41">
        <v>1</v>
      </c>
      <c r="W57" s="42">
        <f t="shared" si="6"/>
        <v>1</v>
      </c>
      <c r="X57" s="42">
        <f t="shared" si="7"/>
        <v>1</v>
      </c>
      <c r="Y57" s="42">
        <f t="shared" si="8"/>
        <v>1</v>
      </c>
      <c r="Z57" s="42">
        <f t="shared" si="9"/>
        <v>1</v>
      </c>
      <c r="AA57" s="38">
        <v>0</v>
      </c>
      <c r="AB57" s="40"/>
      <c r="AC57" s="40"/>
      <c r="AD57" s="40"/>
      <c r="AE57" s="40"/>
      <c r="AF57" s="40">
        <v>0</v>
      </c>
      <c r="AG57" s="40">
        <v>0</v>
      </c>
      <c r="AH57" s="40">
        <v>1</v>
      </c>
      <c r="AI57" s="43">
        <v>0</v>
      </c>
      <c r="AJ57" s="44">
        <v>0</v>
      </c>
      <c r="AK57" s="40">
        <v>1</v>
      </c>
      <c r="AL57" s="40">
        <v>0</v>
      </c>
      <c r="AM57" s="43">
        <v>1</v>
      </c>
      <c r="AN57" s="45">
        <v>0</v>
      </c>
      <c r="AO57" s="45">
        <v>0</v>
      </c>
      <c r="AP57" s="40">
        <v>1</v>
      </c>
      <c r="AQ57" s="46">
        <v>0</v>
      </c>
      <c r="AR57" s="46">
        <v>290340064</v>
      </c>
      <c r="AS57" s="46">
        <v>0</v>
      </c>
      <c r="AT57" s="47">
        <v>0</v>
      </c>
      <c r="AU57" s="46" t="e">
        <f t="shared" ca="1" si="11"/>
        <v>#NAME?</v>
      </c>
      <c r="AV57" s="46">
        <v>0</v>
      </c>
      <c r="AW57" s="46">
        <v>0</v>
      </c>
      <c r="AX57" s="46">
        <v>0</v>
      </c>
      <c r="AY57" s="47">
        <v>0</v>
      </c>
      <c r="AZ57" s="48" t="e">
        <f t="shared" ca="1" si="10"/>
        <v>#NAME?</v>
      </c>
      <c r="BA57" s="49"/>
      <c r="BB57" s="49"/>
      <c r="BC57" s="49" t="s">
        <v>65</v>
      </c>
      <c r="BD57" s="51"/>
    </row>
    <row r="58" spans="1:56" s="52" customFormat="1" ht="37.5" customHeight="1">
      <c r="A58" s="34">
        <v>7</v>
      </c>
      <c r="B58" s="35" t="s">
        <v>43</v>
      </c>
      <c r="C58" s="34">
        <v>3</v>
      </c>
      <c r="D58" s="34" t="s">
        <v>361</v>
      </c>
      <c r="E58" s="36" t="s">
        <v>290</v>
      </c>
      <c r="F58" s="34">
        <v>24</v>
      </c>
      <c r="G58" s="36" t="s">
        <v>291</v>
      </c>
      <c r="H58" s="37">
        <v>379</v>
      </c>
      <c r="I58" s="36" t="s">
        <v>318</v>
      </c>
      <c r="J58" s="38">
        <v>66</v>
      </c>
      <c r="K58" s="39" t="s">
        <v>319</v>
      </c>
      <c r="L58" s="38">
        <v>848</v>
      </c>
      <c r="M58" s="39" t="s">
        <v>294</v>
      </c>
      <c r="N58" s="38">
        <v>2</v>
      </c>
      <c r="O58" s="39" t="s">
        <v>320</v>
      </c>
      <c r="P58" s="40">
        <v>1</v>
      </c>
      <c r="Q58" s="36" t="s">
        <v>321</v>
      </c>
      <c r="R58" s="36" t="s">
        <v>322</v>
      </c>
      <c r="S58" s="39" t="s">
        <v>373</v>
      </c>
      <c r="T58" s="39" t="s">
        <v>372</v>
      </c>
      <c r="U58" s="35" t="s">
        <v>52</v>
      </c>
      <c r="V58" s="41">
        <v>1</v>
      </c>
      <c r="W58" s="42">
        <f t="shared" si="6"/>
        <v>1</v>
      </c>
      <c r="X58" s="42">
        <f t="shared" si="7"/>
        <v>1</v>
      </c>
      <c r="Y58" s="42">
        <f t="shared" si="8"/>
        <v>1</v>
      </c>
      <c r="Z58" s="42">
        <f t="shared" si="9"/>
        <v>1</v>
      </c>
      <c r="AA58" s="38">
        <v>1</v>
      </c>
      <c r="AB58" s="40">
        <v>1</v>
      </c>
      <c r="AC58" s="40">
        <v>0</v>
      </c>
      <c r="AD58" s="40">
        <v>0</v>
      </c>
      <c r="AE58" s="40">
        <v>0</v>
      </c>
      <c r="AF58" s="40">
        <v>1</v>
      </c>
      <c r="AG58" s="40">
        <v>0</v>
      </c>
      <c r="AH58" s="40">
        <v>1</v>
      </c>
      <c r="AI58" s="43">
        <v>0</v>
      </c>
      <c r="AJ58" s="44">
        <v>0</v>
      </c>
      <c r="AK58" s="40">
        <v>1</v>
      </c>
      <c r="AL58" s="40">
        <v>0</v>
      </c>
      <c r="AM58" s="43">
        <v>1</v>
      </c>
      <c r="AN58" s="45">
        <v>0</v>
      </c>
      <c r="AO58" s="45">
        <v>0</v>
      </c>
      <c r="AP58" s="40">
        <v>1</v>
      </c>
      <c r="AQ58" s="46">
        <v>0</v>
      </c>
      <c r="AR58" s="46">
        <v>179998496</v>
      </c>
      <c r="AS58" s="46">
        <v>0</v>
      </c>
      <c r="AT58" s="47">
        <v>0</v>
      </c>
      <c r="AU58" s="46" t="e">
        <f t="shared" ca="1" si="11"/>
        <v>#NAME?</v>
      </c>
      <c r="AV58" s="46">
        <v>0</v>
      </c>
      <c r="AW58" s="46">
        <v>0</v>
      </c>
      <c r="AX58" s="46">
        <v>0</v>
      </c>
      <c r="AY58" s="47">
        <v>0</v>
      </c>
      <c r="AZ58" s="48" t="e">
        <f t="shared" ca="1" si="10"/>
        <v>#NAME?</v>
      </c>
      <c r="BA58" s="49"/>
      <c r="BB58" s="49"/>
      <c r="BC58" s="49" t="s">
        <v>65</v>
      </c>
      <c r="BD58" s="51"/>
    </row>
    <row r="59" spans="1:56" s="52" customFormat="1" ht="37.5" customHeight="1">
      <c r="A59" s="34">
        <v>7</v>
      </c>
      <c r="B59" s="35" t="s">
        <v>43</v>
      </c>
      <c r="C59" s="34">
        <v>3</v>
      </c>
      <c r="D59" s="34" t="s">
        <v>361</v>
      </c>
      <c r="E59" s="36" t="s">
        <v>290</v>
      </c>
      <c r="F59" s="34">
        <v>24</v>
      </c>
      <c r="G59" s="36" t="s">
        <v>291</v>
      </c>
      <c r="H59" s="37">
        <v>380</v>
      </c>
      <c r="I59" s="36" t="s">
        <v>323</v>
      </c>
      <c r="J59" s="38">
        <v>62</v>
      </c>
      <c r="K59" s="39" t="s">
        <v>324</v>
      </c>
      <c r="L59" s="38">
        <v>848</v>
      </c>
      <c r="M59" s="39" t="s">
        <v>294</v>
      </c>
      <c r="N59" s="38">
        <v>5</v>
      </c>
      <c r="O59" s="39" t="s">
        <v>56</v>
      </c>
      <c r="P59" s="40">
        <v>2000</v>
      </c>
      <c r="Q59" s="36" t="s">
        <v>325</v>
      </c>
      <c r="R59" s="97" t="s">
        <v>326</v>
      </c>
      <c r="S59" s="39" t="s">
        <v>362</v>
      </c>
      <c r="T59" s="39" t="s">
        <v>372</v>
      </c>
      <c r="U59" s="35" t="s">
        <v>52</v>
      </c>
      <c r="V59" s="41">
        <v>1</v>
      </c>
      <c r="W59" s="42">
        <f t="shared" si="6"/>
        <v>0.9</v>
      </c>
      <c r="X59" s="42">
        <f t="shared" si="7"/>
        <v>0.9</v>
      </c>
      <c r="Y59" s="42">
        <f t="shared" si="8"/>
        <v>0.8</v>
      </c>
      <c r="Z59" s="42">
        <f t="shared" si="9"/>
        <v>0.8</v>
      </c>
      <c r="AA59" s="38">
        <v>0</v>
      </c>
      <c r="AB59" s="40">
        <v>500</v>
      </c>
      <c r="AC59" s="40">
        <v>500</v>
      </c>
      <c r="AD59" s="40">
        <v>500</v>
      </c>
      <c r="AE59" s="40">
        <v>500</v>
      </c>
      <c r="AF59" s="40">
        <v>2000</v>
      </c>
      <c r="AG59" s="40">
        <f>250+250</f>
        <v>500</v>
      </c>
      <c r="AH59" s="40">
        <v>1250</v>
      </c>
      <c r="AI59" s="43">
        <v>50</v>
      </c>
      <c r="AJ59" s="44">
        <v>0</v>
      </c>
      <c r="AK59" s="40">
        <v>1800</v>
      </c>
      <c r="AL59" s="40">
        <v>500</v>
      </c>
      <c r="AM59" s="43">
        <f>100+1000</f>
        <v>1100</v>
      </c>
      <c r="AN59" s="98">
        <v>0</v>
      </c>
      <c r="AO59" s="45">
        <v>0</v>
      </c>
      <c r="AP59" s="40">
        <v>1600</v>
      </c>
      <c r="AQ59" s="46">
        <v>235542241</v>
      </c>
      <c r="AR59" s="46">
        <v>255575000</v>
      </c>
      <c r="AS59" s="46">
        <v>40318496</v>
      </c>
      <c r="AT59" s="47">
        <v>0</v>
      </c>
      <c r="AU59" s="46" t="e">
        <f t="shared" ca="1" si="11"/>
        <v>#NAME?</v>
      </c>
      <c r="AV59" s="46">
        <f>24000000+96000000</f>
        <v>120000000</v>
      </c>
      <c r="AW59" s="46">
        <v>188180000</v>
      </c>
      <c r="AX59" s="46">
        <v>0</v>
      </c>
      <c r="AY59" s="47">
        <v>0</v>
      </c>
      <c r="AZ59" s="48" t="e">
        <f t="shared" ca="1" si="10"/>
        <v>#NAME?</v>
      </c>
      <c r="BA59" s="49"/>
      <c r="BB59" s="49"/>
      <c r="BC59" s="49" t="s">
        <v>65</v>
      </c>
      <c r="BD59" s="51" t="s">
        <v>327</v>
      </c>
    </row>
    <row r="60" spans="1:56" s="52" customFormat="1" ht="37.5" customHeight="1">
      <c r="A60" s="34">
        <v>7</v>
      </c>
      <c r="B60" s="35" t="s">
        <v>43</v>
      </c>
      <c r="C60" s="34">
        <v>3</v>
      </c>
      <c r="D60" s="34" t="s">
        <v>361</v>
      </c>
      <c r="E60" s="36" t="s">
        <v>290</v>
      </c>
      <c r="F60" s="34">
        <v>25</v>
      </c>
      <c r="G60" s="36" t="s">
        <v>328</v>
      </c>
      <c r="H60" s="37">
        <v>381</v>
      </c>
      <c r="I60" s="36" t="s">
        <v>329</v>
      </c>
      <c r="J60" s="38">
        <v>69</v>
      </c>
      <c r="K60" s="39" t="s">
        <v>102</v>
      </c>
      <c r="L60" s="38">
        <v>850</v>
      </c>
      <c r="M60" s="39" t="s">
        <v>330</v>
      </c>
      <c r="N60" s="38">
        <v>2</v>
      </c>
      <c r="O60" s="39" t="s">
        <v>56</v>
      </c>
      <c r="P60" s="40">
        <v>1000</v>
      </c>
      <c r="Q60" s="36" t="s">
        <v>63</v>
      </c>
      <c r="R60" s="36" t="s">
        <v>331</v>
      </c>
      <c r="S60" s="39" t="s">
        <v>373</v>
      </c>
      <c r="T60" s="39" t="s">
        <v>374</v>
      </c>
      <c r="U60" s="35" t="s">
        <v>52</v>
      </c>
      <c r="V60" s="41">
        <v>1</v>
      </c>
      <c r="W60" s="42">
        <f t="shared" si="6"/>
        <v>2.0350000000000001</v>
      </c>
      <c r="X60" s="42">
        <f t="shared" si="7"/>
        <v>2.0350000000000001</v>
      </c>
      <c r="Y60" s="42">
        <f t="shared" si="8"/>
        <v>2.0350000000000001</v>
      </c>
      <c r="Z60" s="42">
        <f t="shared" si="9"/>
        <v>2.0350000000000001</v>
      </c>
      <c r="AA60" s="38">
        <v>0</v>
      </c>
      <c r="AB60" s="40">
        <v>250</v>
      </c>
      <c r="AC60" s="40">
        <v>250</v>
      </c>
      <c r="AD60" s="40">
        <v>250</v>
      </c>
      <c r="AE60" s="40">
        <v>250</v>
      </c>
      <c r="AF60" s="40">
        <v>1000</v>
      </c>
      <c r="AG60" s="40">
        <v>2000</v>
      </c>
      <c r="AH60" s="40">
        <v>35</v>
      </c>
      <c r="AI60" s="43">
        <v>0</v>
      </c>
      <c r="AJ60" s="44">
        <v>0</v>
      </c>
      <c r="AK60" s="40">
        <v>2035</v>
      </c>
      <c r="AL60" s="40">
        <v>2000</v>
      </c>
      <c r="AM60" s="43">
        <v>35</v>
      </c>
      <c r="AN60" s="45">
        <v>0</v>
      </c>
      <c r="AO60" s="45">
        <v>0</v>
      </c>
      <c r="AP60" s="40">
        <v>2035</v>
      </c>
      <c r="AQ60" s="46">
        <v>104288000</v>
      </c>
      <c r="AR60" s="46">
        <v>186964459</v>
      </c>
      <c r="AS60" s="46">
        <v>0</v>
      </c>
      <c r="AT60" s="47">
        <v>0</v>
      </c>
      <c r="AU60" s="46" t="e">
        <f t="shared" ca="1" si="11"/>
        <v>#NAME?</v>
      </c>
      <c r="AV60" s="46">
        <v>0</v>
      </c>
      <c r="AW60" s="46">
        <v>0</v>
      </c>
      <c r="AX60" s="46">
        <v>0</v>
      </c>
      <c r="AY60" s="47">
        <v>0</v>
      </c>
      <c r="AZ60" s="48" t="e">
        <f t="shared" ca="1" si="10"/>
        <v>#NAME?</v>
      </c>
      <c r="BA60" s="49"/>
      <c r="BB60" s="49"/>
      <c r="BC60" s="49" t="s">
        <v>65</v>
      </c>
      <c r="BD60" s="51"/>
    </row>
    <row r="61" spans="1:56" s="52" customFormat="1" ht="37.5" customHeight="1">
      <c r="A61" s="34">
        <v>7</v>
      </c>
      <c r="B61" s="35" t="s">
        <v>43</v>
      </c>
      <c r="C61" s="34">
        <v>3</v>
      </c>
      <c r="D61" s="34" t="s">
        <v>361</v>
      </c>
      <c r="E61" s="36" t="s">
        <v>290</v>
      </c>
      <c r="F61" s="34">
        <v>25</v>
      </c>
      <c r="G61" s="36" t="s">
        <v>328</v>
      </c>
      <c r="H61" s="37">
        <v>382</v>
      </c>
      <c r="I61" s="36" t="s">
        <v>332</v>
      </c>
      <c r="J61" s="38">
        <v>69</v>
      </c>
      <c r="K61" s="39" t="s">
        <v>102</v>
      </c>
      <c r="L61" s="38">
        <v>850</v>
      </c>
      <c r="M61" s="39" t="s">
        <v>330</v>
      </c>
      <c r="N61" s="38">
        <v>3</v>
      </c>
      <c r="O61" s="39" t="s">
        <v>56</v>
      </c>
      <c r="P61" s="40">
        <v>1000</v>
      </c>
      <c r="Q61" s="36" t="s">
        <v>63</v>
      </c>
      <c r="R61" s="36" t="s">
        <v>333</v>
      </c>
      <c r="S61" s="39" t="s">
        <v>373</v>
      </c>
      <c r="T61" s="39" t="s">
        <v>374</v>
      </c>
      <c r="U61" s="35" t="s">
        <v>52</v>
      </c>
      <c r="V61" s="41">
        <v>1</v>
      </c>
      <c r="W61" s="42">
        <f t="shared" si="6"/>
        <v>1.55</v>
      </c>
      <c r="X61" s="42">
        <f t="shared" si="7"/>
        <v>1.55</v>
      </c>
      <c r="Y61" s="42">
        <f t="shared" si="8"/>
        <v>0.5</v>
      </c>
      <c r="Z61" s="42">
        <f t="shared" si="9"/>
        <v>0.5</v>
      </c>
      <c r="AA61" s="38">
        <v>0</v>
      </c>
      <c r="AB61" s="40">
        <v>250</v>
      </c>
      <c r="AC61" s="40">
        <v>250</v>
      </c>
      <c r="AD61" s="40">
        <v>250</v>
      </c>
      <c r="AE61" s="40">
        <v>250</v>
      </c>
      <c r="AF61" s="40">
        <v>1000</v>
      </c>
      <c r="AG61" s="40">
        <v>250</v>
      </c>
      <c r="AH61" s="40">
        <v>250</v>
      </c>
      <c r="AI61" s="43">
        <v>0</v>
      </c>
      <c r="AJ61" s="44">
        <v>1050</v>
      </c>
      <c r="AK61" s="40">
        <v>1550</v>
      </c>
      <c r="AL61" s="40">
        <v>250</v>
      </c>
      <c r="AM61" s="43">
        <v>250</v>
      </c>
      <c r="AN61" s="45">
        <v>0</v>
      </c>
      <c r="AO61" s="45">
        <v>0</v>
      </c>
      <c r="AP61" s="40">
        <v>500</v>
      </c>
      <c r="AQ61" s="46">
        <v>89801568</v>
      </c>
      <c r="AR61" s="46">
        <v>79325541</v>
      </c>
      <c r="AS61" s="46">
        <v>0</v>
      </c>
      <c r="AT61" s="47">
        <v>137838539</v>
      </c>
      <c r="AU61" s="46" t="e">
        <f t="shared" ca="1" si="11"/>
        <v>#NAME?</v>
      </c>
      <c r="AV61" s="46">
        <v>0</v>
      </c>
      <c r="AW61" s="46">
        <v>0</v>
      </c>
      <c r="AX61" s="46">
        <v>0</v>
      </c>
      <c r="AY61" s="47">
        <v>0</v>
      </c>
      <c r="AZ61" s="48" t="e">
        <f t="shared" ca="1" si="10"/>
        <v>#NAME?</v>
      </c>
      <c r="BA61" s="49"/>
      <c r="BB61" s="49"/>
      <c r="BC61" s="49" t="s">
        <v>65</v>
      </c>
      <c r="BD61" s="51"/>
    </row>
    <row r="62" spans="1:56" s="52" customFormat="1" ht="37.5" customHeight="1">
      <c r="A62" s="34">
        <v>7</v>
      </c>
      <c r="B62" s="35" t="s">
        <v>43</v>
      </c>
      <c r="C62" s="34">
        <v>3</v>
      </c>
      <c r="D62" s="34" t="s">
        <v>361</v>
      </c>
      <c r="E62" s="36" t="s">
        <v>290</v>
      </c>
      <c r="F62" s="34">
        <v>25</v>
      </c>
      <c r="G62" s="36" t="s">
        <v>328</v>
      </c>
      <c r="H62" s="37">
        <v>383</v>
      </c>
      <c r="I62" s="36" t="s">
        <v>334</v>
      </c>
      <c r="J62" s="38">
        <v>68</v>
      </c>
      <c r="K62" s="39" t="s">
        <v>335</v>
      </c>
      <c r="L62" s="38">
        <v>850</v>
      </c>
      <c r="M62" s="39" t="s">
        <v>330</v>
      </c>
      <c r="N62" s="38">
        <v>1</v>
      </c>
      <c r="O62" s="39" t="s">
        <v>56</v>
      </c>
      <c r="P62" s="40">
        <v>1000</v>
      </c>
      <c r="Q62" s="36" t="s">
        <v>63</v>
      </c>
      <c r="R62" s="36" t="s">
        <v>336</v>
      </c>
      <c r="S62" s="39" t="s">
        <v>373</v>
      </c>
      <c r="T62" s="39" t="s">
        <v>374</v>
      </c>
      <c r="U62" s="35" t="s">
        <v>52</v>
      </c>
      <c r="V62" s="41">
        <v>1</v>
      </c>
      <c r="W62" s="42">
        <f t="shared" si="6"/>
        <v>4.25</v>
      </c>
      <c r="X62" s="42">
        <f t="shared" si="7"/>
        <v>4.25</v>
      </c>
      <c r="Y62" s="42">
        <f t="shared" si="8"/>
        <v>5.1639999999999997</v>
      </c>
      <c r="Z62" s="42">
        <f t="shared" si="9"/>
        <v>5.1639999999999997</v>
      </c>
      <c r="AA62" s="38">
        <v>0</v>
      </c>
      <c r="AB62" s="40">
        <v>250</v>
      </c>
      <c r="AC62" s="40">
        <v>250</v>
      </c>
      <c r="AD62" s="40">
        <v>250</v>
      </c>
      <c r="AE62" s="40">
        <v>250</v>
      </c>
      <c r="AF62" s="40">
        <v>1000</v>
      </c>
      <c r="AG62" s="40">
        <v>2000</v>
      </c>
      <c r="AH62" s="40">
        <v>1000</v>
      </c>
      <c r="AI62" s="43">
        <v>1250</v>
      </c>
      <c r="AJ62" s="44">
        <v>0</v>
      </c>
      <c r="AK62" s="40">
        <v>4250</v>
      </c>
      <c r="AL62" s="40">
        <v>2000</v>
      </c>
      <c r="AM62" s="43">
        <f>368+1771</f>
        <v>2139</v>
      </c>
      <c r="AN62" s="45">
        <f>783+242</f>
        <v>1025</v>
      </c>
      <c r="AO62" s="45">
        <v>0</v>
      </c>
      <c r="AP62" s="40">
        <v>5164</v>
      </c>
      <c r="AQ62" s="46">
        <v>95000000</v>
      </c>
      <c r="AR62" s="46">
        <v>1157000000</v>
      </c>
      <c r="AS62" s="46">
        <v>1384000000</v>
      </c>
      <c r="AT62" s="47">
        <v>0</v>
      </c>
      <c r="AU62" s="46" t="e">
        <f t="shared" ca="1" si="11"/>
        <v>#NAME?</v>
      </c>
      <c r="AV62" s="46">
        <v>0</v>
      </c>
      <c r="AW62" s="46">
        <v>0</v>
      </c>
      <c r="AX62" s="46">
        <f>745360000</f>
        <v>745360000</v>
      </c>
      <c r="AY62" s="47">
        <v>0</v>
      </c>
      <c r="AZ62" s="48" t="e">
        <f t="shared" ca="1" si="10"/>
        <v>#NAME?</v>
      </c>
      <c r="BA62" s="49"/>
      <c r="BB62" s="49"/>
      <c r="BC62" s="49" t="s">
        <v>207</v>
      </c>
      <c r="BD62" s="51"/>
    </row>
    <row r="63" spans="1:56" s="52" customFormat="1" ht="37.5" customHeight="1">
      <c r="A63" s="34">
        <v>7</v>
      </c>
      <c r="B63" s="35" t="s">
        <v>43</v>
      </c>
      <c r="C63" s="34">
        <v>3</v>
      </c>
      <c r="D63" s="34" t="s">
        <v>361</v>
      </c>
      <c r="E63" s="36" t="s">
        <v>290</v>
      </c>
      <c r="F63" s="34">
        <v>29</v>
      </c>
      <c r="G63" s="36" t="s">
        <v>337</v>
      </c>
      <c r="H63" s="37">
        <v>384</v>
      </c>
      <c r="I63" s="36" t="s">
        <v>338</v>
      </c>
      <c r="J63" s="38">
        <v>69</v>
      </c>
      <c r="K63" s="39" t="s">
        <v>102</v>
      </c>
      <c r="L63" s="38">
        <v>851</v>
      </c>
      <c r="M63" s="39" t="s">
        <v>339</v>
      </c>
      <c r="N63" s="38">
        <v>1</v>
      </c>
      <c r="O63" s="39" t="s">
        <v>56</v>
      </c>
      <c r="P63" s="40">
        <v>4000</v>
      </c>
      <c r="Q63" s="36" t="s">
        <v>63</v>
      </c>
      <c r="R63" s="36" t="s">
        <v>340</v>
      </c>
      <c r="S63" s="39" t="s">
        <v>373</v>
      </c>
      <c r="T63" s="39" t="s">
        <v>374</v>
      </c>
      <c r="U63" s="35" t="s">
        <v>52</v>
      </c>
      <c r="V63" s="41">
        <v>1</v>
      </c>
      <c r="W63" s="42">
        <f t="shared" si="6"/>
        <v>0.625</v>
      </c>
      <c r="X63" s="42">
        <f t="shared" si="7"/>
        <v>0.625</v>
      </c>
      <c r="Y63" s="42">
        <f t="shared" si="8"/>
        <v>0.375</v>
      </c>
      <c r="Z63" s="42">
        <f t="shared" si="9"/>
        <v>0.375</v>
      </c>
      <c r="AA63" s="38">
        <v>0</v>
      </c>
      <c r="AB63" s="40">
        <v>0</v>
      </c>
      <c r="AC63" s="40">
        <v>2000</v>
      </c>
      <c r="AD63" s="40">
        <v>1000</v>
      </c>
      <c r="AE63" s="40">
        <v>1000</v>
      </c>
      <c r="AF63" s="40">
        <v>4000</v>
      </c>
      <c r="AG63" s="40">
        <v>0</v>
      </c>
      <c r="AH63" s="40">
        <v>1000</v>
      </c>
      <c r="AI63" s="43">
        <v>500</v>
      </c>
      <c r="AJ63" s="44">
        <v>1000</v>
      </c>
      <c r="AK63" s="40">
        <v>2500</v>
      </c>
      <c r="AL63" s="40">
        <v>0</v>
      </c>
      <c r="AM63" s="43">
        <v>1000</v>
      </c>
      <c r="AN63" s="45">
        <v>500</v>
      </c>
      <c r="AO63" s="45">
        <v>0</v>
      </c>
      <c r="AP63" s="40">
        <v>1500</v>
      </c>
      <c r="AQ63" s="46">
        <v>0</v>
      </c>
      <c r="AR63" s="46">
        <v>147750000</v>
      </c>
      <c r="AS63" s="46">
        <v>69653000</v>
      </c>
      <c r="AT63" s="47">
        <v>289359170</v>
      </c>
      <c r="AU63" s="46" t="e">
        <f t="shared" ca="1" si="11"/>
        <v>#NAME?</v>
      </c>
      <c r="AV63" s="46">
        <v>0</v>
      </c>
      <c r="AW63" s="46">
        <v>0</v>
      </c>
      <c r="AX63" s="46">
        <v>69653000</v>
      </c>
      <c r="AY63" s="47">
        <v>0</v>
      </c>
      <c r="AZ63" s="48" t="e">
        <f t="shared" ca="1" si="10"/>
        <v>#NAME?</v>
      </c>
      <c r="BA63" s="49"/>
      <c r="BB63" s="49"/>
      <c r="BC63" s="49" t="s">
        <v>65</v>
      </c>
      <c r="BD63" s="51"/>
    </row>
    <row r="64" spans="1:56" s="52" customFormat="1" ht="37.5" customHeight="1">
      <c r="A64" s="34">
        <v>7</v>
      </c>
      <c r="B64" s="35" t="s">
        <v>43</v>
      </c>
      <c r="C64" s="34">
        <v>3</v>
      </c>
      <c r="D64" s="34" t="s">
        <v>361</v>
      </c>
      <c r="E64" s="36" t="s">
        <v>290</v>
      </c>
      <c r="F64" s="34">
        <v>30</v>
      </c>
      <c r="G64" s="36" t="s">
        <v>341</v>
      </c>
      <c r="H64" s="37">
        <v>385</v>
      </c>
      <c r="I64" s="36" t="s">
        <v>342</v>
      </c>
      <c r="J64" s="38">
        <v>67</v>
      </c>
      <c r="K64" s="39" t="s">
        <v>343</v>
      </c>
      <c r="L64" s="38">
        <v>852</v>
      </c>
      <c r="M64" s="39" t="s">
        <v>344</v>
      </c>
      <c r="N64" s="38">
        <v>1</v>
      </c>
      <c r="O64" s="39" t="s">
        <v>56</v>
      </c>
      <c r="P64" s="40">
        <v>3400</v>
      </c>
      <c r="Q64" s="36" t="s">
        <v>63</v>
      </c>
      <c r="R64" s="36" t="s">
        <v>345</v>
      </c>
      <c r="S64" s="39" t="s">
        <v>365</v>
      </c>
      <c r="T64" s="39" t="s">
        <v>372</v>
      </c>
      <c r="U64" s="35" t="s">
        <v>52</v>
      </c>
      <c r="V64" s="41">
        <v>1</v>
      </c>
      <c r="W64" s="42">
        <f t="shared" si="6"/>
        <v>1.1744117647058823</v>
      </c>
      <c r="X64" s="42">
        <f t="shared" si="7"/>
        <v>1.1744117647058823</v>
      </c>
      <c r="Y64" s="42">
        <f t="shared" si="8"/>
        <v>1.5408823529411764</v>
      </c>
      <c r="Z64" s="42">
        <f t="shared" si="9"/>
        <v>1.5408823529411764</v>
      </c>
      <c r="AA64" s="38">
        <v>0</v>
      </c>
      <c r="AB64" s="40">
        <v>0</v>
      </c>
      <c r="AC64" s="40">
        <v>1700</v>
      </c>
      <c r="AD64" s="40">
        <v>850</v>
      </c>
      <c r="AE64" s="40">
        <v>850</v>
      </c>
      <c r="AF64" s="40">
        <v>3400</v>
      </c>
      <c r="AG64" s="40">
        <v>0</v>
      </c>
      <c r="AH64" s="40">
        <v>1500</v>
      </c>
      <c r="AI64" s="43">
        <f>390+468+785+50</f>
        <v>1693</v>
      </c>
      <c r="AJ64" s="44">
        <v>800</v>
      </c>
      <c r="AK64" s="40">
        <v>3993</v>
      </c>
      <c r="AL64" s="40">
        <v>0</v>
      </c>
      <c r="AM64" s="43">
        <f>1061+1055+700+730</f>
        <v>3546</v>
      </c>
      <c r="AN64" s="45">
        <v>1693</v>
      </c>
      <c r="AO64" s="45">
        <v>0</v>
      </c>
      <c r="AP64" s="40">
        <v>5239</v>
      </c>
      <c r="AQ64" s="46">
        <v>0</v>
      </c>
      <c r="AR64" s="46">
        <v>309412415</v>
      </c>
      <c r="AS64" s="46">
        <v>149812500</v>
      </c>
      <c r="AT64" s="47">
        <v>204721166</v>
      </c>
      <c r="AU64" s="46" t="e">
        <f t="shared" ca="1" si="11"/>
        <v>#NAME?</v>
      </c>
      <c r="AV64" s="46">
        <v>0</v>
      </c>
      <c r="AW64" s="46">
        <v>0</v>
      </c>
      <c r="AX64" s="46">
        <v>129112500</v>
      </c>
      <c r="AY64" s="47">
        <v>0</v>
      </c>
      <c r="AZ64" s="48" t="e">
        <f t="shared" ca="1" si="10"/>
        <v>#NAME?</v>
      </c>
      <c r="BA64" s="55"/>
      <c r="BB64" s="55"/>
      <c r="BC64" s="49" t="s">
        <v>65</v>
      </c>
      <c r="BD64" s="51"/>
    </row>
    <row r="65" spans="1:56" s="52" customFormat="1" ht="37.5" customHeight="1">
      <c r="A65" s="99">
        <v>7</v>
      </c>
      <c r="B65" s="58" t="s">
        <v>43</v>
      </c>
      <c r="C65" s="99">
        <v>3</v>
      </c>
      <c r="D65" s="34" t="s">
        <v>361</v>
      </c>
      <c r="E65" s="100" t="s">
        <v>290</v>
      </c>
      <c r="F65" s="99">
        <v>31</v>
      </c>
      <c r="G65" s="100" t="s">
        <v>346</v>
      </c>
      <c r="H65" s="101">
        <v>386</v>
      </c>
      <c r="I65" s="100" t="s">
        <v>347</v>
      </c>
      <c r="J65" s="61">
        <v>75</v>
      </c>
      <c r="K65" s="57" t="s">
        <v>348</v>
      </c>
      <c r="L65" s="61">
        <v>853</v>
      </c>
      <c r="M65" s="57" t="s">
        <v>349</v>
      </c>
      <c r="N65" s="61">
        <v>1</v>
      </c>
      <c r="O65" s="57" t="s">
        <v>350</v>
      </c>
      <c r="P65" s="62">
        <v>9</v>
      </c>
      <c r="Q65" s="100" t="s">
        <v>351</v>
      </c>
      <c r="R65" s="100" t="s">
        <v>352</v>
      </c>
      <c r="S65" s="57" t="s">
        <v>373</v>
      </c>
      <c r="T65" s="57" t="s">
        <v>395</v>
      </c>
      <c r="U65" s="58" t="s">
        <v>85</v>
      </c>
      <c r="V65" s="59">
        <v>1</v>
      </c>
      <c r="W65" s="60">
        <f t="shared" si="6"/>
        <v>0.91666666666666663</v>
      </c>
      <c r="X65" s="60">
        <f t="shared" si="7"/>
        <v>0.91666666666666663</v>
      </c>
      <c r="Y65" s="60">
        <f t="shared" si="8"/>
        <v>0.91666666666666663</v>
      </c>
      <c r="Z65" s="60">
        <f t="shared" si="9"/>
        <v>0.91666666666666663</v>
      </c>
      <c r="AA65" s="61">
        <v>8</v>
      </c>
      <c r="AB65" s="62">
        <v>9</v>
      </c>
      <c r="AC65" s="62">
        <v>9</v>
      </c>
      <c r="AD65" s="62">
        <v>9</v>
      </c>
      <c r="AE65" s="62">
        <v>9</v>
      </c>
      <c r="AF65" s="62">
        <v>9</v>
      </c>
      <c r="AG65" s="62">
        <v>8</v>
      </c>
      <c r="AH65" s="62">
        <v>8</v>
      </c>
      <c r="AI65" s="63">
        <v>8</v>
      </c>
      <c r="AJ65" s="64">
        <v>9</v>
      </c>
      <c r="AK65" s="62">
        <v>8.25</v>
      </c>
      <c r="AL65" s="62">
        <v>8</v>
      </c>
      <c r="AM65" s="63">
        <v>8</v>
      </c>
      <c r="AN65" s="64">
        <v>8</v>
      </c>
      <c r="AO65" s="64">
        <v>9</v>
      </c>
      <c r="AP65" s="62">
        <v>8.25</v>
      </c>
      <c r="AQ65" s="49">
        <v>488045715</v>
      </c>
      <c r="AR65" s="49">
        <v>508973108</v>
      </c>
      <c r="AS65" s="46">
        <v>529657971</v>
      </c>
      <c r="AT65" s="67">
        <v>642916265</v>
      </c>
      <c r="AU65" s="49" t="e">
        <f t="shared" ca="1" si="11"/>
        <v>#NAME?</v>
      </c>
      <c r="AV65" s="49">
        <v>488045715</v>
      </c>
      <c r="AW65" s="49">
        <v>508973108</v>
      </c>
      <c r="AX65" s="46">
        <v>529657971</v>
      </c>
      <c r="AY65" s="67">
        <v>642916265</v>
      </c>
      <c r="AZ65" s="49" t="e">
        <f t="shared" ca="1" si="10"/>
        <v>#NAME?</v>
      </c>
      <c r="BA65" s="49"/>
      <c r="BB65" s="49"/>
      <c r="BC65" s="49" t="s">
        <v>65</v>
      </c>
      <c r="BD65" s="68" t="s">
        <v>353</v>
      </c>
    </row>
    <row r="66" spans="1:56" s="52" customFormat="1" ht="37.5" customHeight="1">
      <c r="A66" s="99">
        <v>7</v>
      </c>
      <c r="B66" s="58" t="s">
        <v>43</v>
      </c>
      <c r="C66" s="99">
        <v>3</v>
      </c>
      <c r="D66" s="34" t="s">
        <v>361</v>
      </c>
      <c r="E66" s="100" t="s">
        <v>290</v>
      </c>
      <c r="F66" s="99">
        <v>31</v>
      </c>
      <c r="G66" s="100" t="s">
        <v>346</v>
      </c>
      <c r="H66" s="101">
        <v>387</v>
      </c>
      <c r="I66" s="100" t="s">
        <v>354</v>
      </c>
      <c r="J66" s="61">
        <v>76</v>
      </c>
      <c r="K66" s="57" t="s">
        <v>355</v>
      </c>
      <c r="L66" s="61">
        <v>853</v>
      </c>
      <c r="M66" s="57" t="s">
        <v>349</v>
      </c>
      <c r="N66" s="61">
        <v>2</v>
      </c>
      <c r="O66" s="57" t="s">
        <v>356</v>
      </c>
      <c r="P66" s="62">
        <v>1</v>
      </c>
      <c r="Q66" s="100" t="s">
        <v>357</v>
      </c>
      <c r="R66" s="100" t="s">
        <v>358</v>
      </c>
      <c r="S66" s="57" t="s">
        <v>373</v>
      </c>
      <c r="T66" s="57" t="s">
        <v>395</v>
      </c>
      <c r="U66" s="58" t="s">
        <v>85</v>
      </c>
      <c r="V66" s="59">
        <v>1</v>
      </c>
      <c r="W66" s="60">
        <f t="shared" si="6"/>
        <v>1</v>
      </c>
      <c r="X66" s="60">
        <f t="shared" si="7"/>
        <v>1</v>
      </c>
      <c r="Y66" s="60">
        <f t="shared" si="8"/>
        <v>1</v>
      </c>
      <c r="Z66" s="60">
        <f t="shared" si="9"/>
        <v>1</v>
      </c>
      <c r="AA66" s="61">
        <v>1</v>
      </c>
      <c r="AB66" s="62">
        <v>1</v>
      </c>
      <c r="AC66" s="62">
        <v>1</v>
      </c>
      <c r="AD66" s="62">
        <v>1</v>
      </c>
      <c r="AE66" s="62">
        <v>1</v>
      </c>
      <c r="AF66" s="62">
        <v>1</v>
      </c>
      <c r="AG66" s="62">
        <v>1</v>
      </c>
      <c r="AH66" s="62">
        <v>1</v>
      </c>
      <c r="AI66" s="63">
        <v>1</v>
      </c>
      <c r="AJ66" s="64">
        <v>1</v>
      </c>
      <c r="AK66" s="62">
        <v>1</v>
      </c>
      <c r="AL66" s="62">
        <v>1</v>
      </c>
      <c r="AM66" s="63">
        <v>1</v>
      </c>
      <c r="AN66" s="64">
        <v>1</v>
      </c>
      <c r="AO66" s="64">
        <v>1</v>
      </c>
      <c r="AP66" s="102">
        <v>1</v>
      </c>
      <c r="AQ66" s="49">
        <v>2775865708</v>
      </c>
      <c r="AR66" s="49">
        <v>2670552632</v>
      </c>
      <c r="AS66" s="49">
        <v>2529744368</v>
      </c>
      <c r="AT66" s="67">
        <f>3124452235-AT65</f>
        <v>2481535970</v>
      </c>
      <c r="AU66" s="49" t="e">
        <f t="shared" ca="1" si="11"/>
        <v>#NAME?</v>
      </c>
      <c r="AV66" s="49">
        <v>1278219999</v>
      </c>
      <c r="AW66" s="49">
        <v>1160809538</v>
      </c>
      <c r="AX66" s="49">
        <v>1638373351</v>
      </c>
      <c r="AY66" s="67">
        <f>1969290414-AY65</f>
        <v>1326374149</v>
      </c>
      <c r="AZ66" s="49" t="e">
        <f t="shared" ca="1" si="10"/>
        <v>#NAME?</v>
      </c>
      <c r="BA66" s="49"/>
      <c r="BB66" s="49"/>
      <c r="BC66" s="49" t="s">
        <v>65</v>
      </c>
      <c r="BD66" s="68" t="s">
        <v>353</v>
      </c>
    </row>
    <row r="73" spans="1:56" ht="15" customHeight="1"/>
  </sheetData>
  <mergeCells count="8">
    <mergeCell ref="AQ1:AU1"/>
    <mergeCell ref="AV1:AZ1"/>
    <mergeCell ref="BA1:BB1"/>
    <mergeCell ref="A1:T1"/>
    <mergeCell ref="U1:AA1"/>
    <mergeCell ref="AB1:AF1"/>
    <mergeCell ref="AG1:AK1"/>
    <mergeCell ref="AL1:AP1"/>
  </mergeCells>
  <dataValidations count="6">
    <dataValidation type="list" allowBlank="1" showInputMessage="1" showErrorMessage="1" sqref="BC3:BC66 KY3:KY66 UU3:UU66 AEQ3:AEQ66">
      <formula1>TEMASPRIORITARIOS</formula1>
      <formula2>0</formula2>
    </dataValidation>
    <dataValidation type="list" allowBlank="1" showErrorMessage="1" sqref="E3:E66 JA3:JA66 SW3:SW66 ACS3:ACS66">
      <formula1>EJES</formula1>
      <formula2>0</formula2>
    </dataValidation>
    <dataValidation type="list" allowBlank="1" showErrorMessage="1" sqref="B3:B66 IY3:IY66 SU3:SU66 ACQ3:ACQ66">
      <formula1>LOCALIDADES</formula1>
      <formula2>0</formula2>
    </dataValidation>
    <dataValidation type="list" allowBlank="1" showErrorMessage="1" sqref="K3:K66 JG3:JG66 TC3:TC66 ACY3:ACY66">
      <formula1>INDICADORAGREGADO</formula1>
      <formula2>0</formula2>
    </dataValidation>
    <dataValidation type="list" allowBlank="1" showErrorMessage="1" sqref="G3:G66 JC3:JC66 SY3:SY66 ACU3:ACU66">
      <formula1>INDIRECT(#REF!)</formula1>
      <formula2>0</formula2>
    </dataValidation>
    <dataValidation type="list" allowBlank="1" showErrorMessage="1" sqref="U3:U66 JQ3:JQ66 TM3:TM66 ADI3:ADI66">
      <formula1>TIPOMETA</formula1>
      <formula2>0</formula2>
    </dataValidation>
  </dataValidations>
  <pageMargins left="0.7" right="0.7" top="0.75" bottom="0.75" header="0.51180555555555496" footer="0.51180555555555496"/>
  <pageSetup paperSize="0" scale="0" firstPageNumber="0" orientation="portrait" usePrinterDefaults="0" horizontalDpi="0" verticalDpi="0" copies="0"/>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Sandra.Pereira</cp:lastModifiedBy>
  <cp:revision>0</cp:revision>
  <dcterms:created xsi:type="dcterms:W3CDTF">2017-04-30T02:22:38Z</dcterms:created>
  <dcterms:modified xsi:type="dcterms:W3CDTF">2017-07-26T14:27:12Z</dcterms:modified>
</cp:coreProperties>
</file>